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45" windowWidth="19425" windowHeight="1050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state="hidden" r:id="rId37"/>
    <sheet name="存贷款利率" sheetId="61" r:id="rId38"/>
    <sheet name="Sheet3" sheetId="65"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 localSheetId="38">[1]定义!$M$1:$M$6</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 localSheetId="38">[1]定义!$V$1:$V$3</definedName>
    <definedName name="单价内涵">定义!$V$1:$V$3</definedName>
    <definedName name="抵押">定义!$B$52:$D$52</definedName>
    <definedName name="抵押净值">定义!$B$57:$C$57</definedName>
    <definedName name="抵押净值定义">定义!$B$57:$C$57</definedName>
    <definedName name="地类判定" localSheetId="38">[1]定义!$H$1:$H$9</definedName>
    <definedName name="地类判定">定义!$H$1:$H$9</definedName>
    <definedName name="地下">'[1]2014基准地价'!$B$33:$B$39</definedName>
    <definedName name="二级">区片价!$J$1:$J$20</definedName>
    <definedName name="二级分类" localSheetId="38">'[1]2014修正'!$C$17:$C$39</definedName>
    <definedName name="二级分类">修正!$C$17:$C$39</definedName>
    <definedName name="法定最高年限" localSheetId="38">[1]定义!$G$1:$G$4</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 localSheetId="38">[1]定义!$Q$1:$Q$6</definedName>
    <definedName name="公共配套设施">定义!$Q$1:$Q$6</definedName>
    <definedName name="估价方法" localSheetId="38">[1]定义!$B$1:$B$50</definedName>
    <definedName name="估价方法">定义!$B$1:$B$50</definedName>
    <definedName name="估价目的" localSheetId="38">[1]定义!#REF!</definedName>
    <definedName name="估价目的">定义!$A$51:$C$51</definedName>
    <definedName name="环境" localSheetId="38">[1]定义!$S$1:$S$6</definedName>
    <definedName name="环境">定义!$S$1:$S$6</definedName>
    <definedName name="基础设施水平" localSheetId="38">[1]定义!$R$1:$R$6</definedName>
    <definedName name="基础设施水平">定义!$R$1:$R$7</definedName>
    <definedName name="季度">基准地价修正!$N$19:$AD$19</definedName>
    <definedName name="季度2014">[1]地价!$A$3:$A$33</definedName>
    <definedName name="价值类型">定义!$B$53:$B$58</definedName>
    <definedName name="价值类型2" localSheetId="38">[1]定义!#REF!</definedName>
    <definedName name="价值类型2">定义!$B$54:$B$56</definedName>
    <definedName name="建筑使用方向">定义!$Y:$Y</definedName>
    <definedName name="交通便捷度" localSheetId="38">[1]定义!$O$1:$O$6</definedName>
    <definedName name="交通便捷度">定义!$O$1:$O$6</definedName>
    <definedName name="结构" localSheetId="38">[1]定义!$X:$X</definedName>
    <definedName name="结构">定义!$X:$X</definedName>
    <definedName name="仅抵押价值" localSheetId="38">[1]定义!#REF!</definedName>
    <definedName name="仅抵押价值">定义!$B$54:$C$54</definedName>
    <definedName name="九级">区片价!$Q$1:$Q$46</definedName>
    <definedName name="居住社区成熟度" localSheetId="38">[1]定义!$K$1:$K$6</definedName>
    <definedName name="居住社区成熟度">定义!$K$1:$K$6</definedName>
    <definedName name="类别">定义!$J$1:$J$3</definedName>
    <definedName name="临街状况" localSheetId="38">[1]定义!$T$1:$T$5</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 localSheetId="38">'[1]2014修正'!$A$6:$A$14</definedName>
    <definedName name="七通一平">修正!$A$6:$A$14</definedName>
    <definedName name="区域土地利用方向" localSheetId="38">[1]定义!$P$1:$P$6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 localSheetId="38">[1]定义!$L$1:$L$6</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 localSheetId="38">'[1]2014修正'!$C$59:$C$119</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 localSheetId="38">#REF!</definedName>
    <definedName name="套工道路等级">'土地比较法-工业'!$B$97:$M$97</definedName>
    <definedName name="套工地质条件" localSheetId="38">#REF!</definedName>
    <definedName name="套工地质条件">'土地比较法-工业'!$B$114:$M$114</definedName>
    <definedName name="套工交易情况">'土地比较法-住宅、综合'!$A$73:$M$73</definedName>
    <definedName name="套工土地级别" localSheetId="38">#REF!</definedName>
    <definedName name="套工土地级别">'土地比较法-工业'!$B$99:$M$99</definedName>
    <definedName name="套工用途" localSheetId="38">#REF!</definedName>
    <definedName name="套工用途">'土地比较法-工业'!$B$70:$M$70</definedName>
    <definedName name="套工宗地内开发程度" localSheetId="38">#REF!</definedName>
    <definedName name="套工宗地内开发程度">'土地比较法-工业'!$B$112:$M$112</definedName>
    <definedName name="套工宗地形状" localSheetId="38">#REF!</definedName>
    <definedName name="套工宗地形状">'土地比较法-工业'!$B$110:$M$110</definedName>
    <definedName name="套综道路等级" localSheetId="38">[1]比较法!$B$94:$M$94</definedName>
    <definedName name="套综道路等级">'土地比较法-住宅、综合'!$B$106:$M$106</definedName>
    <definedName name="套综工程地质条件" localSheetId="38">[1]比较法!$B$113:$M$113</definedName>
    <definedName name="套综工程地质条件">'土地比较法-住宅、综合'!$B$125:$M$125</definedName>
    <definedName name="套综交易情况" localSheetId="38">[1]比较法!$A$61:$M$61</definedName>
    <definedName name="套综交易情况">'土地比较法-住宅、综合'!$A$73:$M$73</definedName>
    <definedName name="套综临街宽度及深度" localSheetId="38">[1]比较法!$B$109:$M$109</definedName>
    <definedName name="套综临街宽度及深度">'土地比较法-住宅、综合'!$B$121:$M$121</definedName>
    <definedName name="套综土地级别" localSheetId="38">[1]比较法!$B$96:$M$96</definedName>
    <definedName name="套综土地级别">'土地比较法-住宅、综合'!$B$108:$M$108</definedName>
    <definedName name="套综用途" localSheetId="38">[1]比较法!$B$63:$M$63</definedName>
    <definedName name="套综用途">'土地比较法-住宅、综合'!$B$75:$M$75</definedName>
    <definedName name="套综宗地内开发程度" localSheetId="38">[1]比较法!$B$111:$M$111</definedName>
    <definedName name="套综宗地内开发程度">'土地比较法-住宅、综合'!$B$123:$M$123</definedName>
    <definedName name="套综宗地形状" localSheetId="38">[1]比较法!$B$107:$M$107</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38">[1]定义!$C$1:$C$13</definedName>
    <definedName name="土地级别">定义!$C$1:$C$13</definedName>
    <definedName name="土地利用方向">定义!$P$1:$P$6</definedName>
    <definedName name="土地年限区间">定义!$I$1:$I$8</definedName>
    <definedName name="位置">定义!$E$2:$E$4</definedName>
    <definedName name="五等判定" localSheetId="38">[1]定义!$W$1:$W$6</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 localSheetId="38">[1]定义!#REF!</definedName>
    <definedName name="已注销">定义!$B$55:$C$55</definedName>
    <definedName name="已注销及未注销" localSheetId="38">[1]定义!#REF!</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H27" i="1" l="1"/>
  <c r="G26" i="1"/>
  <c r="E33" i="21" l="1"/>
  <c r="E47" i="21"/>
  <c r="I5" i="21"/>
  <c r="C6" i="11" l="1"/>
  <c r="C37" i="21" l="1"/>
  <c r="G37" i="21" s="1"/>
  <c r="C33" i="21"/>
  <c r="I37" i="21" l="1"/>
  <c r="E13" i="1"/>
  <c r="I15" i="1"/>
  <c r="I17" i="1" s="1"/>
  <c r="L24" i="1" s="1"/>
  <c r="D5" i="9" l="1"/>
  <c r="E37" i="21" l="1"/>
  <c r="D94" i="21"/>
  <c r="C94" i="21"/>
  <c r="I24" i="1" l="1"/>
  <c r="L23" i="1"/>
  <c r="K24" i="1" s="1"/>
  <c r="D29" i="43" l="1"/>
  <c r="G13" i="61" l="1"/>
  <c r="F13" i="61"/>
  <c r="E13" i="61"/>
  <c r="G14" i="61"/>
  <c r="F14" i="61"/>
  <c r="E14" i="61"/>
  <c r="G15" i="61"/>
  <c r="F15" i="61"/>
  <c r="E15" i="61"/>
  <c r="E16" i="61"/>
  <c r="F16" i="61"/>
  <c r="G16" i="61"/>
  <c r="G17" i="61"/>
  <c r="F17" i="61"/>
  <c r="E17" i="61"/>
  <c r="AH5" i="59" l="1"/>
  <c r="AG5" i="59"/>
  <c r="AE5" i="59"/>
  <c r="AF5" i="59" s="1"/>
  <c r="AD5" i="59"/>
  <c r="Q5" i="59"/>
  <c r="P5" i="59"/>
  <c r="O5" i="59"/>
  <c r="N5" i="59"/>
  <c r="AH6" i="59" l="1"/>
  <c r="AG6" i="59"/>
  <c r="AE6" i="59"/>
  <c r="AF6" i="59" s="1"/>
  <c r="AD6" i="59"/>
  <c r="Q6" i="59"/>
  <c r="P6" i="59"/>
  <c r="O6" i="59"/>
  <c r="N6" i="59"/>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s="1"/>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s="1"/>
  <c r="AD12" i="59"/>
  <c r="AH13" i="59"/>
  <c r="AG13" i="59"/>
  <c r="AE13" i="59"/>
  <c r="AF13" i="59" s="1"/>
  <c r="AD13" i="59"/>
  <c r="Q13" i="59"/>
  <c r="P13" i="59"/>
  <c r="O13" i="59"/>
  <c r="N13" i="59"/>
  <c r="L3" i="59"/>
  <c r="AH3" i="59" s="1"/>
  <c r="K3" i="59"/>
  <c r="AG3" i="59" s="1"/>
  <c r="J3" i="59"/>
  <c r="AE3" i="59" s="1"/>
  <c r="I3" i="59"/>
  <c r="AD3" i="59" s="1"/>
  <c r="AH14" i="59"/>
  <c r="AG14" i="59"/>
  <c r="AE14" i="59"/>
  <c r="AF14" i="59" s="1"/>
  <c r="AD14" i="59"/>
  <c r="Q14" i="59"/>
  <c r="Q15" i="59"/>
  <c r="P14" i="59"/>
  <c r="P15" i="59"/>
  <c r="O14" i="59"/>
  <c r="O15" i="59"/>
  <c r="N14" i="59"/>
  <c r="N15" i="59"/>
  <c r="N16" i="59"/>
  <c r="O16" i="59"/>
  <c r="P16" i="59"/>
  <c r="Q16" i="59"/>
  <c r="AD15" i="59"/>
  <c r="AE15" i="59"/>
  <c r="AF15" i="59" s="1"/>
  <c r="AG15" i="59"/>
  <c r="AH15" i="59"/>
  <c r="M48" i="15"/>
  <c r="B2" i="1"/>
  <c r="F30" i="1" s="1"/>
  <c r="B24" i="1"/>
  <c r="J50" i="15"/>
  <c r="J51" i="15"/>
  <c r="B26" i="1"/>
  <c r="AH16" i="59"/>
  <c r="AG16" i="59"/>
  <c r="AE16" i="59"/>
  <c r="AF16" i="59" s="1"/>
  <c r="AD16" i="59"/>
  <c r="AH17" i="59"/>
  <c r="AG17" i="59"/>
  <c r="AE17" i="59"/>
  <c r="AF17" i="59" s="1"/>
  <c r="AD17" i="59"/>
  <c r="Q17" i="59"/>
  <c r="F17" i="59" s="1"/>
  <c r="V17" i="59" s="1"/>
  <c r="P17" i="59"/>
  <c r="O17" i="59"/>
  <c r="N17" i="59"/>
  <c r="Q18" i="59"/>
  <c r="P18" i="59"/>
  <c r="O18" i="59"/>
  <c r="N18" i="59"/>
  <c r="D18" i="59"/>
  <c r="E17" i="59"/>
  <c r="E16" i="59" s="1"/>
  <c r="E15" i="59" s="1"/>
  <c r="E14" i="59" s="1"/>
  <c r="E13" i="59" s="1"/>
  <c r="E12" i="59" s="1"/>
  <c r="E11" i="59" s="1"/>
  <c r="E10" i="59" s="1"/>
  <c r="E9" i="59" s="1"/>
  <c r="C17" i="59"/>
  <c r="C16" i="59" s="1"/>
  <c r="A2" i="50"/>
  <c r="D17" i="59"/>
  <c r="K60" i="15"/>
  <c r="P59" i="15" s="1"/>
  <c r="A127" i="57"/>
  <c r="A123" i="9"/>
  <c r="A16" i="54"/>
  <c r="B14" i="60" s="1"/>
  <c r="A14" i="54"/>
  <c r="B12" i="60" s="1"/>
  <c r="A19" i="55"/>
  <c r="B49" i="60" s="1"/>
  <c r="A13" i="55"/>
  <c r="B43" i="60" s="1"/>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H32" i="59"/>
  <c r="AG32" i="59"/>
  <c r="AE32" i="59"/>
  <c r="AD32" i="59"/>
  <c r="AF32" i="59"/>
  <c r="AD33" i="59"/>
  <c r="AE33" i="59"/>
  <c r="AF33" i="59" s="1"/>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s="1"/>
  <c r="AH9" i="43"/>
  <c r="AH12" i="43"/>
  <c r="AG9" i="43"/>
  <c r="AG12" i="43" s="1"/>
  <c r="AF9" i="43"/>
  <c r="AF12" i="43" s="1"/>
  <c r="AE9" i="43"/>
  <c r="AE12" i="43"/>
  <c r="AD9" i="43"/>
  <c r="AD12" i="43" s="1"/>
  <c r="AC9" i="43"/>
  <c r="AB9" i="43"/>
  <c r="AB12" i="43" s="1"/>
  <c r="AA9" i="43"/>
  <c r="AA12" i="43"/>
  <c r="Z9" i="43"/>
  <c r="Z12" i="43" s="1"/>
  <c r="AA10" i="43"/>
  <c r="AE10" i="43"/>
  <c r="AG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F112" i="9"/>
  <c r="B45" i="50"/>
  <c r="B59" i="60" s="1"/>
  <c r="D2" i="52"/>
  <c r="B60" i="60" s="1"/>
  <c r="B18" i="50"/>
  <c r="B10" i="50"/>
  <c r="B31" i="50" s="1"/>
  <c r="C6" i="50"/>
  <c r="B18" i="60" s="1"/>
  <c r="A13" i="54"/>
  <c r="B10" i="60" s="1"/>
  <c r="B51" i="60"/>
  <c r="B50" i="60"/>
  <c r="B47" i="60"/>
  <c r="B16" i="60"/>
  <c r="B51" i="10"/>
  <c r="A15" i="55"/>
  <c r="B45" i="60" s="1"/>
  <c r="B44" i="60"/>
  <c r="C10" i="50"/>
  <c r="B24" i="60" s="1"/>
  <c r="C7" i="50"/>
  <c r="C15" i="50" s="1"/>
  <c r="C35" i="50"/>
  <c r="C34" i="50"/>
  <c r="C33" i="50"/>
  <c r="B13" i="60"/>
  <c r="C42" i="50"/>
  <c r="C36" i="50"/>
  <c r="C39" i="50"/>
  <c r="I19" i="43"/>
  <c r="A136" i="57"/>
  <c r="F119" i="57"/>
  <c r="D82" i="59"/>
  <c r="F81" i="59"/>
  <c r="F80" i="59" s="1"/>
  <c r="F79" i="59" s="1"/>
  <c r="E81" i="59"/>
  <c r="E80" i="59" s="1"/>
  <c r="E79" i="59" s="1"/>
  <c r="C81" i="59"/>
  <c r="C80" i="59" s="1"/>
  <c r="D81" i="59"/>
  <c r="B81" i="59"/>
  <c r="B80" i="59" s="1"/>
  <c r="B79" i="59"/>
  <c r="D78" i="59"/>
  <c r="F77" i="59"/>
  <c r="E77" i="59"/>
  <c r="E76" i="59" s="1"/>
  <c r="E75" i="59" s="1"/>
  <c r="C77" i="59"/>
  <c r="D77" i="59" s="1"/>
  <c r="B77" i="59"/>
  <c r="B76" i="59" s="1"/>
  <c r="B75" i="59" s="1"/>
  <c r="F76" i="59"/>
  <c r="F75" i="59" s="1"/>
  <c r="D74" i="59"/>
  <c r="Q73" i="59"/>
  <c r="P73" i="59"/>
  <c r="O73" i="59"/>
  <c r="N73" i="59"/>
  <c r="F73" i="59"/>
  <c r="E73" i="59"/>
  <c r="U73" i="59" s="1"/>
  <c r="C73" i="59"/>
  <c r="T73" i="59"/>
  <c r="B73" i="59"/>
  <c r="S73" i="59" s="1"/>
  <c r="Q72" i="59"/>
  <c r="P72" i="59"/>
  <c r="O72" i="59"/>
  <c r="N72" i="59"/>
  <c r="Q71" i="59"/>
  <c r="P71" i="59"/>
  <c r="O71" i="59"/>
  <c r="N71" i="59"/>
  <c r="Q70" i="59"/>
  <c r="P70" i="59"/>
  <c r="O70" i="59"/>
  <c r="N70" i="59"/>
  <c r="D70" i="59"/>
  <c r="S69" i="59"/>
  <c r="Q69" i="59"/>
  <c r="P69" i="59"/>
  <c r="O69" i="59"/>
  <c r="N69" i="59"/>
  <c r="F69" i="59"/>
  <c r="V69" i="59" s="1"/>
  <c r="E69" i="59"/>
  <c r="U69" i="59" s="1"/>
  <c r="C69" i="59"/>
  <c r="D69" i="59" s="1"/>
  <c r="T69" i="59"/>
  <c r="B69" i="59"/>
  <c r="Q68" i="59"/>
  <c r="P68" i="59"/>
  <c r="O68" i="59"/>
  <c r="N68" i="59"/>
  <c r="B68" i="59"/>
  <c r="B67" i="59" s="1"/>
  <c r="Q67" i="59"/>
  <c r="P67" i="59"/>
  <c r="O67" i="59"/>
  <c r="N67" i="59"/>
  <c r="Q66" i="59"/>
  <c r="P66" i="59"/>
  <c r="O66" i="59"/>
  <c r="N66" i="59"/>
  <c r="D66" i="59"/>
  <c r="Q65" i="59"/>
  <c r="P65" i="59"/>
  <c r="O65" i="59"/>
  <c r="N65" i="59"/>
  <c r="F65" i="59"/>
  <c r="V65" i="59" s="1"/>
  <c r="E65" i="59"/>
  <c r="U65" i="59" s="1"/>
  <c r="C65" i="59"/>
  <c r="B65" i="59"/>
  <c r="S65" i="59" s="1"/>
  <c r="Q64" i="59"/>
  <c r="P64" i="59"/>
  <c r="O64" i="59"/>
  <c r="N64" i="59"/>
  <c r="Q63" i="59"/>
  <c r="P63" i="59"/>
  <c r="O63" i="59"/>
  <c r="N63" i="59"/>
  <c r="Q62" i="59"/>
  <c r="P62" i="59"/>
  <c r="O62" i="59"/>
  <c r="N62" i="59"/>
  <c r="D62" i="59"/>
  <c r="F61" i="59"/>
  <c r="V61" i="59"/>
  <c r="E61" i="59"/>
  <c r="E60" i="59" s="1"/>
  <c r="E59" i="59" s="1"/>
  <c r="P58" i="59" s="1"/>
  <c r="C61" i="59"/>
  <c r="O61" i="59" s="1"/>
  <c r="B61" i="59"/>
  <c r="S61" i="59" s="1"/>
  <c r="F60" i="59"/>
  <c r="F59" i="59" s="1"/>
  <c r="Q58" i="59" s="1"/>
  <c r="Q59" i="59"/>
  <c r="D58" i="59"/>
  <c r="Q57" i="59"/>
  <c r="P57" i="59"/>
  <c r="O57" i="59"/>
  <c r="N57" i="59"/>
  <c r="Q56" i="59"/>
  <c r="P56" i="59"/>
  <c r="O56" i="59"/>
  <c r="N56" i="59"/>
  <c r="Q55" i="59"/>
  <c r="P55" i="59"/>
  <c r="O55" i="59"/>
  <c r="N55" i="59"/>
  <c r="Q54" i="59"/>
  <c r="F55" i="59" s="1"/>
  <c r="P54" i="59"/>
  <c r="E55" i="59" s="1"/>
  <c r="E56" i="59" s="1"/>
  <c r="O54" i="59"/>
  <c r="C55" i="59" s="1"/>
  <c r="N54" i="59"/>
  <c r="B55" i="59"/>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C52" i="59" s="1"/>
  <c r="N50" i="59"/>
  <c r="B51" i="59" s="1"/>
  <c r="D50" i="59"/>
  <c r="Q49" i="59"/>
  <c r="P49" i="59"/>
  <c r="O49" i="59"/>
  <c r="N49" i="59"/>
  <c r="Q48" i="59"/>
  <c r="P48" i="59"/>
  <c r="O48" i="59"/>
  <c r="N48" i="59"/>
  <c r="Q47" i="59"/>
  <c r="P47" i="59"/>
  <c r="O47" i="59"/>
  <c r="N47" i="59"/>
  <c r="Q46" i="59"/>
  <c r="F47" i="59"/>
  <c r="F48" i="59" s="1"/>
  <c r="F49" i="59" s="1"/>
  <c r="V49" i="59" s="1"/>
  <c r="P46" i="59"/>
  <c r="E47" i="59" s="1"/>
  <c r="O46" i="59"/>
  <c r="C47" i="59" s="1"/>
  <c r="D47" i="59" s="1"/>
  <c r="N46" i="59"/>
  <c r="B47" i="59" s="1"/>
  <c r="B48" i="59" s="1"/>
  <c r="B49" i="59"/>
  <c r="S49" i="59" s="1"/>
  <c r="D46" i="59"/>
  <c r="Q45" i="59"/>
  <c r="P45" i="59"/>
  <c r="O45" i="59"/>
  <c r="N45" i="59"/>
  <c r="Q44" i="59"/>
  <c r="P44" i="59"/>
  <c r="O44" i="59"/>
  <c r="N44" i="59"/>
  <c r="Q43" i="59"/>
  <c r="P43" i="59"/>
  <c r="O43" i="59"/>
  <c r="N43" i="59"/>
  <c r="Q42" i="59"/>
  <c r="F43" i="59" s="1"/>
  <c r="F44" i="59"/>
  <c r="F45" i="59" s="1"/>
  <c r="V45" i="59" s="1"/>
  <c r="P42" i="59"/>
  <c r="E43" i="59" s="1"/>
  <c r="E44" i="59" s="1"/>
  <c r="E45" i="59" s="1"/>
  <c r="U45" i="59" s="1"/>
  <c r="O42" i="59"/>
  <c r="C43" i="59" s="1"/>
  <c r="C44" i="59" s="1"/>
  <c r="N42" i="59"/>
  <c r="B43" i="59" s="1"/>
  <c r="B44" i="59"/>
  <c r="B45" i="59" s="1"/>
  <c r="S45" i="59" s="1"/>
  <c r="D42" i="59"/>
  <c r="T41" i="59"/>
  <c r="Q41" i="59"/>
  <c r="P41" i="59"/>
  <c r="O41" i="59"/>
  <c r="N41" i="59"/>
  <c r="D41" i="59"/>
  <c r="Q40" i="59"/>
  <c r="P40" i="59"/>
  <c r="O40" i="59"/>
  <c r="N40" i="59"/>
  <c r="Q39" i="59"/>
  <c r="P39" i="59"/>
  <c r="O39" i="59"/>
  <c r="N39" i="59"/>
  <c r="F40" i="59"/>
  <c r="F41" i="59" s="1"/>
  <c r="V41" i="59" s="1"/>
  <c r="Q38" i="59"/>
  <c r="F39" i="59" s="1"/>
  <c r="P38" i="59"/>
  <c r="E39" i="59"/>
  <c r="E40" i="59" s="1"/>
  <c r="E41" i="59" s="1"/>
  <c r="U41" i="59" s="1"/>
  <c r="O38" i="59"/>
  <c r="C39" i="59" s="1"/>
  <c r="N38" i="59"/>
  <c r="B39" i="59" s="1"/>
  <c r="B40" i="59"/>
  <c r="B41" i="59" s="1"/>
  <c r="S41" i="59" s="1"/>
  <c r="D38" i="59"/>
  <c r="Q37" i="59"/>
  <c r="P37" i="59"/>
  <c r="O37" i="59"/>
  <c r="N37" i="59"/>
  <c r="Q36" i="59"/>
  <c r="P36" i="59"/>
  <c r="O36" i="59"/>
  <c r="N36" i="59"/>
  <c r="Q35" i="59"/>
  <c r="P35" i="59"/>
  <c r="O35" i="59"/>
  <c r="N35" i="59"/>
  <c r="F35" i="59"/>
  <c r="F36" i="59" s="1"/>
  <c r="F37" i="59" s="1"/>
  <c r="V37" i="59" s="1"/>
  <c r="Q34" i="59"/>
  <c r="P34" i="59"/>
  <c r="E35" i="59" s="1"/>
  <c r="E36" i="59" s="1"/>
  <c r="E37" i="59" s="1"/>
  <c r="U37" i="59" s="1"/>
  <c r="O34" i="59"/>
  <c r="C35" i="59" s="1"/>
  <c r="N34" i="59"/>
  <c r="B35" i="59"/>
  <c r="D34" i="59"/>
  <c r="Q33" i="59"/>
  <c r="P33" i="59"/>
  <c r="O33" i="59"/>
  <c r="N33" i="59"/>
  <c r="AB32" i="59"/>
  <c r="Q32" i="59"/>
  <c r="P32" i="59"/>
  <c r="AA32" i="59" s="1"/>
  <c r="O32" i="59"/>
  <c r="Y32" i="59" s="1"/>
  <c r="Z32" i="59" s="1"/>
  <c r="N32" i="59"/>
  <c r="X32" i="59" s="1"/>
  <c r="Q31" i="59"/>
  <c r="AB31" i="59" s="1"/>
  <c r="P31" i="59"/>
  <c r="AA31" i="59" s="1"/>
  <c r="O31" i="59"/>
  <c r="N31" i="59"/>
  <c r="X31" i="59" s="1"/>
  <c r="Q30" i="59"/>
  <c r="P30" i="59"/>
  <c r="E31" i="59" s="1"/>
  <c r="E32" i="59" s="1"/>
  <c r="E33" i="59" s="1"/>
  <c r="O30" i="59"/>
  <c r="C31" i="59" s="1"/>
  <c r="C32" i="59" s="1"/>
  <c r="N30" i="59"/>
  <c r="B31" i="59" s="1"/>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O26" i="59"/>
  <c r="C27" i="59"/>
  <c r="D27" i="59" s="1"/>
  <c r="N26" i="59"/>
  <c r="D26" i="59"/>
  <c r="Q25" i="59"/>
  <c r="P25" i="59"/>
  <c r="O25" i="59"/>
  <c r="N25" i="59"/>
  <c r="Q24" i="59"/>
  <c r="P24" i="59"/>
  <c r="O24" i="59"/>
  <c r="N24" i="59"/>
  <c r="Q23" i="59"/>
  <c r="P23" i="59"/>
  <c r="O23" i="59"/>
  <c r="N23" i="59"/>
  <c r="Q22" i="59"/>
  <c r="F23" i="59" s="1"/>
  <c r="F24" i="59" s="1"/>
  <c r="F25" i="59" s="1"/>
  <c r="V25" i="59" s="1"/>
  <c r="P22" i="59"/>
  <c r="E23" i="59" s="1"/>
  <c r="O22" i="59"/>
  <c r="C23" i="59"/>
  <c r="D23" i="59" s="1"/>
  <c r="N22" i="59"/>
  <c r="B23" i="59" s="1"/>
  <c r="B24" i="59" s="1"/>
  <c r="D22" i="59"/>
  <c r="O21" i="59"/>
  <c r="C21" i="59" s="1"/>
  <c r="N21" i="59"/>
  <c r="X14" i="59" s="1"/>
  <c r="C24" i="59"/>
  <c r="D31" i="59"/>
  <c r="P21" i="59"/>
  <c r="E57" i="59"/>
  <c r="U57" i="59" s="1"/>
  <c r="E64" i="59"/>
  <c r="E63" i="59" s="1"/>
  <c r="Q21" i="59"/>
  <c r="F21" i="59" s="1"/>
  <c r="T61" i="59"/>
  <c r="D61" i="59"/>
  <c r="C60" i="59"/>
  <c r="O60" i="59" s="1"/>
  <c r="Q61" i="59"/>
  <c r="C68" i="59"/>
  <c r="D68" i="59" s="1"/>
  <c r="E68" i="59"/>
  <c r="E67" i="59" s="1"/>
  <c r="C72" i="59"/>
  <c r="D72" i="59" s="1"/>
  <c r="D73" i="59"/>
  <c r="C76" i="59"/>
  <c r="D76" i="59" s="1"/>
  <c r="C75" i="59"/>
  <c r="D75" i="59" s="1"/>
  <c r="D32" i="59"/>
  <c r="Q25" i="40"/>
  <c r="Z25" i="40" s="1"/>
  <c r="E94" i="40"/>
  <c r="F94" i="40" s="1"/>
  <c r="G94" i="40" s="1"/>
  <c r="D94" i="40"/>
  <c r="H25" i="40"/>
  <c r="F25" i="40"/>
  <c r="AA25" i="40" s="1"/>
  <c r="Z27" i="39"/>
  <c r="Q27" i="39"/>
  <c r="D101" i="39"/>
  <c r="E101" i="39"/>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F21" i="37"/>
  <c r="AA21" i="37"/>
  <c r="C21" i="37"/>
  <c r="Z21" i="34"/>
  <c r="Q21" i="34"/>
  <c r="D84" i="34"/>
  <c r="E84" i="34" s="1"/>
  <c r="F84" i="34" s="1"/>
  <c r="F21" i="34"/>
  <c r="S21" i="34" s="1"/>
  <c r="C21" i="34"/>
  <c r="Q21" i="33"/>
  <c r="Z21" i="33" s="1"/>
  <c r="D83" i="33"/>
  <c r="E83" i="33" s="1"/>
  <c r="F83" i="33" s="1"/>
  <c r="G83" i="33" s="1"/>
  <c r="H21" i="33"/>
  <c r="U21" i="33" s="1"/>
  <c r="F21" i="33"/>
  <c r="AA21" i="33" s="1"/>
  <c r="C21" i="33"/>
  <c r="Q21" i="21"/>
  <c r="Z21" i="21" s="1"/>
  <c r="D83" i="21"/>
  <c r="E83" i="21" s="1"/>
  <c r="F83" i="21" s="1"/>
  <c r="F21" i="21"/>
  <c r="AA21" i="21" s="1"/>
  <c r="C21" i="21"/>
  <c r="G20" i="20"/>
  <c r="B86" i="43" s="1"/>
  <c r="C22" i="20"/>
  <c r="B75" i="43" s="1"/>
  <c r="S18" i="36"/>
  <c r="W18" i="35"/>
  <c r="S21" i="37"/>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E15" i="58"/>
  <c r="I14" i="58"/>
  <c r="I13" i="58"/>
  <c r="I15" i="58" s="1"/>
  <c r="I12" i="58"/>
  <c r="I9" i="58"/>
  <c r="I8" i="58"/>
  <c r="I7" i="58"/>
  <c r="I6" i="58"/>
  <c r="I5" i="58"/>
  <c r="I4" i="58"/>
  <c r="I10" i="58" s="1"/>
  <c r="I3" i="58"/>
  <c r="G57" i="40"/>
  <c r="C57" i="40" s="1"/>
  <c r="G56" i="40"/>
  <c r="C56" i="40" s="1"/>
  <c r="B21" i="50"/>
  <c r="B42" i="50" s="1"/>
  <c r="D1" i="43"/>
  <c r="F113" i="43"/>
  <c r="N99" i="43"/>
  <c r="N100" i="43" s="1"/>
  <c r="M99" i="43"/>
  <c r="M108" i="43" s="1"/>
  <c r="L99" i="43"/>
  <c r="K99" i="43"/>
  <c r="K108" i="43" s="1"/>
  <c r="J99" i="43"/>
  <c r="J108" i="43"/>
  <c r="I99" i="43"/>
  <c r="I108" i="43" s="1"/>
  <c r="H99" i="43"/>
  <c r="G99" i="43"/>
  <c r="G108" i="43"/>
  <c r="F99" i="43"/>
  <c r="F108" i="43" s="1"/>
  <c r="E99" i="43"/>
  <c r="E100" i="43" s="1"/>
  <c r="D99" i="43"/>
  <c r="C99" i="43"/>
  <c r="C100" i="43" s="1"/>
  <c r="G100" i="43"/>
  <c r="K100" i="43"/>
  <c r="J100" i="43"/>
  <c r="B84" i="43"/>
  <c r="B83" i="43"/>
  <c r="B72" i="43"/>
  <c r="B61" i="43"/>
  <c r="B50" i="43"/>
  <c r="M78" i="43"/>
  <c r="N78" i="43" s="1"/>
  <c r="K78" i="43"/>
  <c r="J78" i="43"/>
  <c r="D78" i="43"/>
  <c r="M77" i="43"/>
  <c r="N77" i="43"/>
  <c r="K77" i="43"/>
  <c r="J77" i="43"/>
  <c r="D77" i="43"/>
  <c r="M76" i="43"/>
  <c r="N76" i="43"/>
  <c r="K76" i="43"/>
  <c r="J76" i="43" s="1"/>
  <c r="D76" i="43"/>
  <c r="M75" i="43"/>
  <c r="N75" i="43"/>
  <c r="K75" i="43"/>
  <c r="J75" i="43" s="1"/>
  <c r="D75" i="43"/>
  <c r="M74" i="43"/>
  <c r="N74" i="43"/>
  <c r="K74" i="43"/>
  <c r="J74" i="43" s="1"/>
  <c r="D74" i="43"/>
  <c r="M73" i="43"/>
  <c r="N73" i="43" s="1"/>
  <c r="K73" i="43"/>
  <c r="J73" i="43" s="1"/>
  <c r="D73" i="43"/>
  <c r="M72" i="43"/>
  <c r="N72" i="43" s="1"/>
  <c r="K72" i="43"/>
  <c r="J72" i="43"/>
  <c r="D72" i="43"/>
  <c r="M71" i="43"/>
  <c r="N71" i="43" s="1"/>
  <c r="K71" i="43"/>
  <c r="J71" i="43"/>
  <c r="D71" i="43"/>
  <c r="M70" i="43"/>
  <c r="N70" i="43" s="1"/>
  <c r="K70" i="43"/>
  <c r="J70" i="43" s="1"/>
  <c r="D70" i="43"/>
  <c r="M67" i="43"/>
  <c r="N67" i="43"/>
  <c r="K67" i="43"/>
  <c r="J67" i="43"/>
  <c r="D67" i="43"/>
  <c r="M66" i="43"/>
  <c r="N66" i="43" s="1"/>
  <c r="K66" i="43"/>
  <c r="J66" i="43" s="1"/>
  <c r="D66" i="43"/>
  <c r="M65" i="43"/>
  <c r="N65" i="43"/>
  <c r="K65" i="43"/>
  <c r="J65" i="43" s="1"/>
  <c r="D65" i="43"/>
  <c r="M64" i="43"/>
  <c r="N64" i="43"/>
  <c r="K64" i="43"/>
  <c r="J64" i="43" s="1"/>
  <c r="D64" i="43"/>
  <c r="M63" i="43"/>
  <c r="N63" i="43" s="1"/>
  <c r="K63" i="43"/>
  <c r="J63" i="43" s="1"/>
  <c r="D63" i="43"/>
  <c r="M62" i="43"/>
  <c r="N62" i="43" s="1"/>
  <c r="K62" i="43"/>
  <c r="J62" i="43"/>
  <c r="D62" i="43"/>
  <c r="M61" i="43"/>
  <c r="N61" i="43" s="1"/>
  <c r="K61" i="43"/>
  <c r="J61" i="43"/>
  <c r="D61" i="43"/>
  <c r="M60" i="43"/>
  <c r="N60" i="43" s="1"/>
  <c r="K60" i="43"/>
  <c r="J60" i="43"/>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Y27" i="3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c r="R166" i="31"/>
  <c r="T166" i="31" s="1"/>
  <c r="R167" i="31"/>
  <c r="T167" i="31"/>
  <c r="R168" i="31"/>
  <c r="T168" i="31" s="1"/>
  <c r="R169" i="31"/>
  <c r="T169" i="31" s="1"/>
  <c r="R170" i="31"/>
  <c r="T170" i="31" s="1"/>
  <c r="R171" i="31"/>
  <c r="T171" i="3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c r="R190" i="31"/>
  <c r="T190" i="31" s="1"/>
  <c r="R191" i="31"/>
  <c r="T191" i="31"/>
  <c r="R192" i="31"/>
  <c r="T192" i="31" s="1"/>
  <c r="R193" i="31"/>
  <c r="T193" i="31" s="1"/>
  <c r="R194" i="31"/>
  <c r="T194" i="31"/>
  <c r="R195" i="31"/>
  <c r="T195" i="31" s="1"/>
  <c r="R196" i="31"/>
  <c r="T196" i="31" s="1"/>
  <c r="R197" i="31"/>
  <c r="T197" i="31"/>
  <c r="R198" i="31"/>
  <c r="T198" i="31" s="1"/>
  <c r="R199" i="31"/>
  <c r="T199" i="31"/>
  <c r="R200" i="31"/>
  <c r="T200" i="31" s="1"/>
  <c r="R201" i="31"/>
  <c r="T201" i="31" s="1"/>
  <c r="R202" i="31"/>
  <c r="T202" i="31"/>
  <c r="R203" i="31"/>
  <c r="T203" i="31" s="1"/>
  <c r="R204" i="31"/>
  <c r="T204" i="31" s="1"/>
  <c r="R205" i="31"/>
  <c r="T205" i="31" s="1"/>
  <c r="R206" i="31"/>
  <c r="T206" i="31" s="1"/>
  <c r="R207" i="31"/>
  <c r="T207" i="31"/>
  <c r="R208" i="31"/>
  <c r="T208" i="31" s="1"/>
  <c r="R209" i="31"/>
  <c r="T209" i="31" s="1"/>
  <c r="R210" i="31"/>
  <c r="T210" i="31" s="1"/>
  <c r="R211" i="31"/>
  <c r="T211" i="31"/>
  <c r="R212" i="31"/>
  <c r="T212" i="31" s="1"/>
  <c r="R213" i="31"/>
  <c r="T213" i="31"/>
  <c r="R214" i="31"/>
  <c r="T214" i="31" s="1"/>
  <c r="R215" i="31"/>
  <c r="T215" i="31" s="1"/>
  <c r="R216" i="31"/>
  <c r="T216" i="31" s="1"/>
  <c r="R217" i="31"/>
  <c r="T217" i="31" s="1"/>
  <c r="R218" i="31"/>
  <c r="T218" i="31"/>
  <c r="R219" i="31"/>
  <c r="T219" i="31" s="1"/>
  <c r="R220" i="31"/>
  <c r="T220" i="31" s="1"/>
  <c r="R221" i="31"/>
  <c r="T221" i="31"/>
  <c r="R222" i="31"/>
  <c r="T222" i="31" s="1"/>
  <c r="R223" i="31"/>
  <c r="T223" i="31" s="1"/>
  <c r="R224" i="31"/>
  <c r="T224" i="31" s="1"/>
  <c r="R225" i="31"/>
  <c r="T225" i="31" s="1"/>
  <c r="R226" i="31"/>
  <c r="T226" i="31"/>
  <c r="R227" i="31"/>
  <c r="T227" i="31" s="1"/>
  <c r="R228" i="31"/>
  <c r="T228" i="31" s="1"/>
  <c r="R229" i="31"/>
  <c r="T229" i="31"/>
  <c r="R230" i="31"/>
  <c r="T230" i="31" s="1"/>
  <c r="R231" i="31"/>
  <c r="T231" i="31" s="1"/>
  <c r="R232" i="31"/>
  <c r="T232" i="31" s="1"/>
  <c r="R233" i="31"/>
  <c r="T233" i="31" s="1"/>
  <c r="R234" i="31"/>
  <c r="T234" i="31"/>
  <c r="R235" i="31"/>
  <c r="T235" i="31" s="1"/>
  <c r="R236" i="31"/>
  <c r="T236" i="31" s="1"/>
  <c r="R237" i="31"/>
  <c r="T237" i="31"/>
  <c r="R238" i="31"/>
  <c r="T238" i="31" s="1"/>
  <c r="R239" i="31"/>
  <c r="T239" i="31" s="1"/>
  <c r="R240" i="31"/>
  <c r="T240" i="31" s="1"/>
  <c r="R241" i="31"/>
  <c r="T241" i="31" s="1"/>
  <c r="R242" i="31"/>
  <c r="T242" i="31"/>
  <c r="R243" i="31"/>
  <c r="T243" i="31" s="1"/>
  <c r="R244" i="31"/>
  <c r="T244" i="31" s="1"/>
  <c r="R245" i="31"/>
  <c r="T245" i="31"/>
  <c r="R246" i="31"/>
  <c r="T246" i="31" s="1"/>
  <c r="R247" i="31"/>
  <c r="T247" i="31" s="1"/>
  <c r="R248" i="31"/>
  <c r="T248" i="31" s="1"/>
  <c r="R249" i="31"/>
  <c r="T249" i="31" s="1"/>
  <c r="R250" i="31"/>
  <c r="T250" i="31"/>
  <c r="R251" i="31"/>
  <c r="T251" i="31" s="1"/>
  <c r="R252" i="31"/>
  <c r="T252" i="31" s="1"/>
  <c r="R253" i="31"/>
  <c r="T253" i="31"/>
  <c r="R254" i="31"/>
  <c r="T254" i="31" s="1"/>
  <c r="R255" i="31"/>
  <c r="T255" i="31" s="1"/>
  <c r="R256" i="31"/>
  <c r="T256" i="31" s="1"/>
  <c r="R257" i="31"/>
  <c r="T257" i="31" s="1"/>
  <c r="R258" i="31"/>
  <c r="T258" i="31"/>
  <c r="R259" i="31"/>
  <c r="S259" i="31" s="1"/>
  <c r="R260" i="31"/>
  <c r="T260" i="31" s="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c r="J37" i="47"/>
  <c r="I37" i="47" s="1"/>
  <c r="L34" i="47"/>
  <c r="M34" i="47" s="1"/>
  <c r="J34" i="47"/>
  <c r="I34" i="47" s="1"/>
  <c r="L33" i="47"/>
  <c r="M33" i="47"/>
  <c r="J33" i="47"/>
  <c r="I33" i="47" s="1"/>
  <c r="L32" i="47"/>
  <c r="M32" i="47" s="1"/>
  <c r="J32" i="47"/>
  <c r="I32" i="47" s="1"/>
  <c r="L31" i="47"/>
  <c r="M31" i="47" s="1"/>
  <c r="J31" i="47"/>
  <c r="I31" i="47" s="1"/>
  <c r="D31" i="47" s="1"/>
  <c r="L30" i="47"/>
  <c r="M30" i="47"/>
  <c r="J30" i="47"/>
  <c r="I30" i="47"/>
  <c r="L29" i="47"/>
  <c r="M29" i="47" s="1"/>
  <c r="J29" i="47"/>
  <c r="I29" i="47" s="1"/>
  <c r="D29" i="47" s="1"/>
  <c r="L28" i="47"/>
  <c r="M28" i="47" s="1"/>
  <c r="J28" i="47"/>
  <c r="I28" i="47"/>
  <c r="L27" i="47"/>
  <c r="M27" i="47" s="1"/>
  <c r="J27" i="47"/>
  <c r="I27" i="47" s="1"/>
  <c r="L26" i="47"/>
  <c r="M26" i="47" s="1"/>
  <c r="J26" i="47"/>
  <c r="I26" i="47" s="1"/>
  <c r="L23" i="47"/>
  <c r="M23" i="47" s="1"/>
  <c r="J23" i="47"/>
  <c r="I23" i="47" s="1"/>
  <c r="L22" i="47"/>
  <c r="M22" i="47" s="1"/>
  <c r="J22" i="47"/>
  <c r="I22" i="47"/>
  <c r="L21" i="47"/>
  <c r="M21" i="47" s="1"/>
  <c r="J21" i="47"/>
  <c r="I21" i="47" s="1"/>
  <c r="L20" i="47"/>
  <c r="M20" i="47" s="1"/>
  <c r="J20" i="47"/>
  <c r="I20" i="47"/>
  <c r="L19" i="47"/>
  <c r="M19" i="47" s="1"/>
  <c r="J19" i="47"/>
  <c r="I19" i="47" s="1"/>
  <c r="L18" i="47"/>
  <c r="M18" i="47" s="1"/>
  <c r="J18" i="47"/>
  <c r="I18" i="47"/>
  <c r="L17" i="47"/>
  <c r="M17" i="47" s="1"/>
  <c r="J17" i="47"/>
  <c r="I17" i="47" s="1"/>
  <c r="L16" i="47"/>
  <c r="M16" i="47" s="1"/>
  <c r="J16" i="47"/>
  <c r="I16" i="47" s="1"/>
  <c r="L15" i="47"/>
  <c r="M15" i="47" s="1"/>
  <c r="J15" i="47"/>
  <c r="I15" i="47" s="1"/>
  <c r="D5" i="47"/>
  <c r="D11" i="47"/>
  <c r="J5" i="47"/>
  <c r="I5" i="47"/>
  <c r="L5" i="47"/>
  <c r="M5" i="47" s="1"/>
  <c r="J6" i="47"/>
  <c r="I6" i="47" s="1"/>
  <c r="L6" i="47"/>
  <c r="M6" i="47" s="1"/>
  <c r="J7" i="47"/>
  <c r="I7" i="47"/>
  <c r="L7" i="47"/>
  <c r="M7" i="47" s="1"/>
  <c r="D7" i="47" s="1"/>
  <c r="J8" i="47"/>
  <c r="I8" i="47"/>
  <c r="L8" i="47"/>
  <c r="M8" i="47" s="1"/>
  <c r="J9" i="47"/>
  <c r="I9" i="47" s="1"/>
  <c r="L9" i="47"/>
  <c r="M9" i="47"/>
  <c r="J10" i="47"/>
  <c r="I10" i="47" s="1"/>
  <c r="D10" i="47" s="1"/>
  <c r="L10" i="47"/>
  <c r="M10" i="47"/>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c r="E48" i="37"/>
  <c r="F48" i="37" s="1"/>
  <c r="I55" i="34"/>
  <c r="J55" i="34"/>
  <c r="G55" i="34"/>
  <c r="H55" i="34" s="1"/>
  <c r="E55" i="34"/>
  <c r="F55" i="34"/>
  <c r="I48" i="40"/>
  <c r="J48" i="40" s="1"/>
  <c r="G48" i="40"/>
  <c r="H48" i="40"/>
  <c r="E48" i="40"/>
  <c r="F48" i="40" s="1"/>
  <c r="I53" i="39"/>
  <c r="J53" i="39"/>
  <c r="G53" i="39"/>
  <c r="H53" i="39" s="1"/>
  <c r="E53" i="39"/>
  <c r="F53" i="39"/>
  <c r="I42" i="36"/>
  <c r="J42" i="36" s="1"/>
  <c r="G42" i="36"/>
  <c r="H42" i="36"/>
  <c r="E42" i="36"/>
  <c r="F42" i="36" s="1"/>
  <c r="I44" i="35"/>
  <c r="J44" i="35"/>
  <c r="G44" i="35"/>
  <c r="H44" i="35" s="1"/>
  <c r="E44" i="35"/>
  <c r="F44" i="35"/>
  <c r="I54" i="33"/>
  <c r="J54" i="33" s="1"/>
  <c r="G54" i="33"/>
  <c r="H54" i="33"/>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s="1"/>
  <c r="B95" i="40"/>
  <c r="D92" i="40"/>
  <c r="E92" i="40" s="1"/>
  <c r="F92" i="40"/>
  <c r="G92" i="40" s="1"/>
  <c r="D90" i="40"/>
  <c r="E90" i="40" s="1"/>
  <c r="D88" i="40"/>
  <c r="E88" i="40" s="1"/>
  <c r="F88" i="40" s="1"/>
  <c r="G88" i="40" s="1"/>
  <c r="D86" i="40"/>
  <c r="E86" i="40" s="1"/>
  <c r="D84" i="40"/>
  <c r="E84" i="40"/>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c r="Q38" i="40"/>
  <c r="Z38" i="40" s="1"/>
  <c r="Q37" i="40"/>
  <c r="Z37" i="40"/>
  <c r="Q36" i="40"/>
  <c r="Z36" i="40" s="1"/>
  <c r="Q35" i="40"/>
  <c r="Z35" i="40"/>
  <c r="Q34" i="40"/>
  <c r="Z34" i="40" s="1"/>
  <c r="J34" i="40"/>
  <c r="AC34" i="40" s="1"/>
  <c r="H34" i="40"/>
  <c r="AB34" i="40"/>
  <c r="F34" i="40"/>
  <c r="AA34" i="40" s="1"/>
  <c r="Q33" i="40"/>
  <c r="Z33" i="40" s="1"/>
  <c r="Q32" i="40"/>
  <c r="Z32" i="40" s="1"/>
  <c r="Q31" i="40"/>
  <c r="Z31" i="40"/>
  <c r="Q30" i="40"/>
  <c r="Z30" i="40" s="1"/>
  <c r="Q28" i="40"/>
  <c r="Z28" i="40" s="1"/>
  <c r="Q27" i="40"/>
  <c r="Z27" i="40"/>
  <c r="Q23" i="40"/>
  <c r="Z23" i="40" s="1"/>
  <c r="Q21" i="40"/>
  <c r="Z21" i="40"/>
  <c r="Q19" i="40"/>
  <c r="Z19" i="40" s="1"/>
  <c r="Q17" i="40"/>
  <c r="Z17" i="40"/>
  <c r="Q15" i="40"/>
  <c r="Z15" i="40" s="1"/>
  <c r="Q14" i="40"/>
  <c r="Z14" i="40"/>
  <c r="Q13" i="40"/>
  <c r="Z13" i="40" s="1"/>
  <c r="Q12" i="40"/>
  <c r="Z12" i="40" s="1"/>
  <c r="Q11" i="40"/>
  <c r="Z11" i="40"/>
  <c r="Q10" i="40"/>
  <c r="Z10" i="40" s="1"/>
  <c r="Q9" i="40"/>
  <c r="Z9" i="40" s="1"/>
  <c r="J9" i="40"/>
  <c r="W9" i="40" s="1"/>
  <c r="H9" i="40"/>
  <c r="AB9" i="40"/>
  <c r="F9" i="40"/>
  <c r="AA9" i="40" s="1"/>
  <c r="J8" i="40"/>
  <c r="AC8" i="40" s="1"/>
  <c r="H8" i="40"/>
  <c r="AB8" i="40"/>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c r="I105" i="39" s="1"/>
  <c r="J105" i="39"/>
  <c r="K105" i="39" s="1"/>
  <c r="L105" i="39" s="1"/>
  <c r="M105" i="39" s="1"/>
  <c r="D103" i="39"/>
  <c r="D99" i="39"/>
  <c r="E99" i="39"/>
  <c r="F99" i="39" s="1"/>
  <c r="G99" i="39"/>
  <c r="Q39" i="39"/>
  <c r="Z39" i="39" s="1"/>
  <c r="Q40" i="39"/>
  <c r="Z40" i="39"/>
  <c r="Q41" i="39"/>
  <c r="Z41" i="39" s="1"/>
  <c r="Q42" i="39"/>
  <c r="Z42" i="39"/>
  <c r="Q43" i="39"/>
  <c r="Z43" i="39" s="1"/>
  <c r="Q44" i="39"/>
  <c r="Z44" i="39" s="1"/>
  <c r="Q45" i="39"/>
  <c r="Z45" i="39"/>
  <c r="Q38" i="39"/>
  <c r="Z38" i="39" s="1"/>
  <c r="Q36" i="39"/>
  <c r="Z36" i="39" s="1"/>
  <c r="Q37" i="39"/>
  <c r="Z37" i="39" s="1"/>
  <c r="M116" i="39"/>
  <c r="L116" i="39"/>
  <c r="K116" i="39"/>
  <c r="J116" i="39"/>
  <c r="I116" i="39"/>
  <c r="H116" i="39"/>
  <c r="G116" i="39"/>
  <c r="F116" i="39"/>
  <c r="E116" i="39"/>
  <c r="D116" i="39"/>
  <c r="C116" i="39"/>
  <c r="B131" i="39"/>
  <c r="H45" i="39" s="1"/>
  <c r="U45" i="39" s="1"/>
  <c r="B129" i="39"/>
  <c r="B127" i="39"/>
  <c r="J43" i="39" s="1"/>
  <c r="D126" i="39"/>
  <c r="E126" i="39" s="1"/>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c r="Q32" i="39"/>
  <c r="Z32" i="39" s="1"/>
  <c r="Q31" i="39"/>
  <c r="Z31" i="39" s="1"/>
  <c r="Q29" i="39"/>
  <c r="Z29" i="39" s="1"/>
  <c r="Q25" i="39"/>
  <c r="Z25" i="39" s="1"/>
  <c r="Q23" i="39"/>
  <c r="Z23" i="39" s="1"/>
  <c r="Q21" i="39"/>
  <c r="Z21" i="39" s="1"/>
  <c r="Q19" i="39"/>
  <c r="Z19" i="39" s="1"/>
  <c r="Q17" i="39"/>
  <c r="Z17" i="39"/>
  <c r="Q15" i="39"/>
  <c r="Z15" i="39" s="1"/>
  <c r="Q14" i="39"/>
  <c r="Z14" i="39" s="1"/>
  <c r="Q13" i="39"/>
  <c r="Z13" i="39" s="1"/>
  <c r="Q12" i="39"/>
  <c r="Z12" i="39" s="1"/>
  <c r="H12" i="39"/>
  <c r="Q11" i="39"/>
  <c r="Z11" i="39"/>
  <c r="Q10" i="39"/>
  <c r="Z10" i="39" s="1"/>
  <c r="Q9" i="39"/>
  <c r="Z9" i="39"/>
  <c r="J9" i="39"/>
  <c r="AC9" i="39" s="1"/>
  <c r="H9" i="39"/>
  <c r="AB9" i="39"/>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c r="G96" i="37" s="1"/>
  <c r="H96" i="37" s="1"/>
  <c r="I96" i="37"/>
  <c r="J96" i="37" s="1"/>
  <c r="K96" i="37" s="1"/>
  <c r="L96" i="37" s="1"/>
  <c r="M96" i="37" s="1"/>
  <c r="D94" i="37"/>
  <c r="E94" i="37" s="1"/>
  <c r="F94" i="37" s="1"/>
  <c r="G94" i="37"/>
  <c r="H94" i="37" s="1"/>
  <c r="I94" i="37" s="1"/>
  <c r="J94" i="37" s="1"/>
  <c r="K94" i="37" s="1"/>
  <c r="L94" i="37" s="1"/>
  <c r="M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s="1"/>
  <c r="F71" i="37" s="1"/>
  <c r="G71" i="37" s="1"/>
  <c r="B68" i="37"/>
  <c r="H14" i="37"/>
  <c r="AB14" i="37" s="1"/>
  <c r="B66" i="37"/>
  <c r="B64" i="37"/>
  <c r="H12" i="37" s="1"/>
  <c r="U12" i="37" s="1"/>
  <c r="D63" i="37"/>
  <c r="E63" i="37"/>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s="1"/>
  <c r="Q26" i="37"/>
  <c r="Z26" i="37" s="1"/>
  <c r="Q25" i="37"/>
  <c r="Z25" i="37" s="1"/>
  <c r="J25" i="37"/>
  <c r="AC25" i="37" s="1"/>
  <c r="F25" i="37"/>
  <c r="AA25" i="37" s="1"/>
  <c r="Q23" i="37"/>
  <c r="Z23" i="37"/>
  <c r="Q19" i="37"/>
  <c r="Z19" i="37"/>
  <c r="Q17" i="37"/>
  <c r="Z17" i="37" s="1"/>
  <c r="Q15" i="37"/>
  <c r="Z15" i="37" s="1"/>
  <c r="Q14" i="37"/>
  <c r="Z14" i="37"/>
  <c r="Q13" i="37"/>
  <c r="Z13" i="37"/>
  <c r="Q12" i="37"/>
  <c r="Z12" i="37"/>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c r="D78" i="36"/>
  <c r="E78" i="36" s="1"/>
  <c r="F78" i="36" s="1"/>
  <c r="G78" i="36" s="1"/>
  <c r="H78" i="36" s="1"/>
  <c r="I78" i="36" s="1"/>
  <c r="J78" i="36" s="1"/>
  <c r="K78" i="36" s="1"/>
  <c r="L78" i="36" s="1"/>
  <c r="M78" i="36" s="1"/>
  <c r="B75" i="36"/>
  <c r="B73" i="36"/>
  <c r="B71" i="36"/>
  <c r="F23" i="36" s="1"/>
  <c r="D70" i="36"/>
  <c r="H22" i="36"/>
  <c r="AB22" i="36"/>
  <c r="D68" i="36"/>
  <c r="E68" i="36" s="1"/>
  <c r="F68" i="36" s="1"/>
  <c r="G68" i="36" s="1"/>
  <c r="D64" i="36"/>
  <c r="E64" i="36"/>
  <c r="F64" i="36" s="1"/>
  <c r="G64" i="36" s="1"/>
  <c r="J16" i="36"/>
  <c r="W16" i="36"/>
  <c r="D62" i="36"/>
  <c r="E62" i="36" s="1"/>
  <c r="F62" i="36" s="1"/>
  <c r="G62" i="36" s="1"/>
  <c r="H14" i="36"/>
  <c r="AB14" i="36" s="1"/>
  <c r="B59" i="36"/>
  <c r="B57" i="36"/>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Q29" i="36"/>
  <c r="Z29" i="36"/>
  <c r="Q28" i="36"/>
  <c r="Z28" i="36" s="1"/>
  <c r="J28" i="36"/>
  <c r="AC28" i="36"/>
  <c r="Q27" i="36"/>
  <c r="Z27" i="36" s="1"/>
  <c r="Q26" i="36"/>
  <c r="Z26" i="36" s="1"/>
  <c r="H26" i="36"/>
  <c r="Q25" i="36"/>
  <c r="Z25" i="36" s="1"/>
  <c r="Q24" i="36"/>
  <c r="Z24" i="36" s="1"/>
  <c r="Q23" i="36"/>
  <c r="Z23" i="36" s="1"/>
  <c r="J23" i="36"/>
  <c r="AC23" i="36" s="1"/>
  <c r="H23" i="36"/>
  <c r="Q22" i="36"/>
  <c r="Z22" i="36"/>
  <c r="J22" i="36"/>
  <c r="AC22" i="36" s="1"/>
  <c r="Q20" i="36"/>
  <c r="Z20" i="36"/>
  <c r="Q16" i="36"/>
  <c r="Z16" i="36" s="1"/>
  <c r="Q14" i="36"/>
  <c r="Z14" i="36"/>
  <c r="Q13" i="36"/>
  <c r="Z13" i="36" s="1"/>
  <c r="Q12" i="36"/>
  <c r="Z12" i="36"/>
  <c r="Q11" i="36"/>
  <c r="Z11" i="36" s="1"/>
  <c r="Q10" i="36"/>
  <c r="Z10" i="36"/>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s="1"/>
  <c r="U23" i="35" s="1"/>
  <c r="B57" i="35"/>
  <c r="B61" i="35"/>
  <c r="B59" i="35"/>
  <c r="B131" i="34"/>
  <c r="B129" i="34"/>
  <c r="B127" i="34"/>
  <c r="B99" i="34"/>
  <c r="B97" i="34"/>
  <c r="B95" i="34"/>
  <c r="B93" i="34"/>
  <c r="B75" i="34"/>
  <c r="B73" i="34"/>
  <c r="B71" i="34"/>
  <c r="F12" i="34" s="1"/>
  <c r="B130" i="33"/>
  <c r="B128" i="33"/>
  <c r="B126" i="33"/>
  <c r="B98" i="33"/>
  <c r="B96" i="33"/>
  <c r="B94" i="33"/>
  <c r="J29" i="33" s="1"/>
  <c r="AC29" i="33" s="1"/>
  <c r="B74" i="33"/>
  <c r="B72" i="33"/>
  <c r="B70" i="33"/>
  <c r="D96" i="35"/>
  <c r="E96" i="35"/>
  <c r="F96" i="35"/>
  <c r="G96" i="35" s="1"/>
  <c r="D94" i="35"/>
  <c r="E94" i="35" s="1"/>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c r="D72" i="35"/>
  <c r="E72" i="35" s="1"/>
  <c r="F72" i="35" s="1"/>
  <c r="G72" i="35" s="1"/>
  <c r="D70" i="35"/>
  <c r="E70" i="35" s="1"/>
  <c r="F70" i="35" s="1"/>
  <c r="G70" i="35" s="1"/>
  <c r="D66" i="35"/>
  <c r="E66" i="35" s="1"/>
  <c r="F66" i="35"/>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c r="Q10" i="35"/>
  <c r="Z10" i="35" s="1"/>
  <c r="Q9" i="35"/>
  <c r="Z9" i="35" s="1"/>
  <c r="H9" i="35"/>
  <c r="AB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c r="K92" i="34" s="1"/>
  <c r="L92" i="34" s="1"/>
  <c r="M92" i="34" s="1"/>
  <c r="B91" i="34"/>
  <c r="B89" i="34"/>
  <c r="J27" i="34" s="1"/>
  <c r="D88" i="34"/>
  <c r="E88" i="34"/>
  <c r="F88" i="34" s="1"/>
  <c r="G88" i="34" s="1"/>
  <c r="H88" i="34" s="1"/>
  <c r="I88" i="34" s="1"/>
  <c r="J88" i="34" s="1"/>
  <c r="K88" i="34" s="1"/>
  <c r="L88" i="34" s="1"/>
  <c r="M88" i="34" s="1"/>
  <c r="D86" i="34"/>
  <c r="E86" i="34" s="1"/>
  <c r="F86" i="34"/>
  <c r="G86" i="34" s="1"/>
  <c r="F23" i="34"/>
  <c r="AA23" i="34" s="1"/>
  <c r="D82" i="34"/>
  <c r="E82" i="34" s="1"/>
  <c r="F82" i="34" s="1"/>
  <c r="G82" i="34" s="1"/>
  <c r="F19" i="34"/>
  <c r="D80" i="34"/>
  <c r="E80" i="34" s="1"/>
  <c r="D78" i="34"/>
  <c r="E78" i="34" s="1"/>
  <c r="F78" i="34" s="1"/>
  <c r="G78" i="34" s="1"/>
  <c r="F15" i="34"/>
  <c r="AA15" i="34"/>
  <c r="D70" i="34"/>
  <c r="E70" i="34" s="1"/>
  <c r="F70" i="34" s="1"/>
  <c r="G70" i="34" s="1"/>
  <c r="H70" i="34"/>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s="1"/>
  <c r="F43" i="34"/>
  <c r="AA43" i="34" s="1"/>
  <c r="Q42" i="34"/>
  <c r="Z42" i="34" s="1"/>
  <c r="Q41" i="34"/>
  <c r="Z41" i="34" s="1"/>
  <c r="Q40" i="34"/>
  <c r="Z40" i="34" s="1"/>
  <c r="Q39" i="34"/>
  <c r="Z39" i="34" s="1"/>
  <c r="H39" i="34"/>
  <c r="AB39" i="34" s="1"/>
  <c r="F39" i="34"/>
  <c r="AA39" i="34"/>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Q11" i="34"/>
  <c r="Z11" i="34" s="1"/>
  <c r="Q10" i="34"/>
  <c r="Z10" i="34" s="1"/>
  <c r="F10" i="34"/>
  <c r="Q9" i="34"/>
  <c r="Z9" i="34" s="1"/>
  <c r="J8" i="34"/>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c r="M87" i="33" s="1"/>
  <c r="D85" i="33"/>
  <c r="E85" i="33" s="1"/>
  <c r="F85" i="33" s="1"/>
  <c r="G85" i="33" s="1"/>
  <c r="D81" i="33"/>
  <c r="E81" i="33" s="1"/>
  <c r="F81" i="33" s="1"/>
  <c r="G81" i="33" s="1"/>
  <c r="D79" i="33"/>
  <c r="E79" i="33" s="1"/>
  <c r="F79" i="33"/>
  <c r="G79" i="33" s="1"/>
  <c r="D77" i="33"/>
  <c r="E77" i="33"/>
  <c r="F77" i="33" s="1"/>
  <c r="G77" i="33" s="1"/>
  <c r="D69" i="33"/>
  <c r="E69" i="33" s="1"/>
  <c r="F69" i="33"/>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c r="Q43" i="33"/>
  <c r="Z43" i="33" s="1"/>
  <c r="Q42" i="33"/>
  <c r="Z42" i="33" s="1"/>
  <c r="J42" i="33"/>
  <c r="AC42" i="33" s="1"/>
  <c r="Q41" i="33"/>
  <c r="Z41" i="33" s="1"/>
  <c r="Q40" i="33"/>
  <c r="Z40" i="33" s="1"/>
  <c r="J40" i="33"/>
  <c r="AC40" i="33"/>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AB12" i="33" s="1"/>
  <c r="F12" i="33"/>
  <c r="S12" i="33" s="1"/>
  <c r="Q11" i="33"/>
  <c r="Z11" i="33"/>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c r="G19" i="20"/>
  <c r="B85" i="43" s="1"/>
  <c r="G16" i="20"/>
  <c r="B82" i="43" s="1"/>
  <c r="G15" i="20"/>
  <c r="B81" i="43" s="1"/>
  <c r="C24" i="20"/>
  <c r="B73" i="43" s="1"/>
  <c r="C21" i="20"/>
  <c r="C27" i="39" s="1"/>
  <c r="C20" i="20"/>
  <c r="C18" i="20"/>
  <c r="B71" i="43" s="1"/>
  <c r="C17" i="20"/>
  <c r="B59" i="43" s="1"/>
  <c r="C16" i="20"/>
  <c r="B48" i="43" s="1"/>
  <c r="C15" i="20"/>
  <c r="B70" i="43" s="1"/>
  <c r="E54" i="21"/>
  <c r="F54" i="21" s="1"/>
  <c r="I54" i="21"/>
  <c r="J54" i="21" s="1"/>
  <c r="G54" i="21"/>
  <c r="H54" i="21" s="1"/>
  <c r="D125" i="21"/>
  <c r="F43" i="21" s="1"/>
  <c r="S43"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D110" i="21"/>
  <c r="E110" i="21" s="1"/>
  <c r="F110" i="21" s="1"/>
  <c r="G110" i="21" s="1"/>
  <c r="H110" i="2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H44" i="21" s="1"/>
  <c r="B98" i="21"/>
  <c r="B96" i="21"/>
  <c r="F30" i="21" s="1"/>
  <c r="S30" i="21" s="1"/>
  <c r="B94" i="21"/>
  <c r="B92" i="21"/>
  <c r="B90" i="21"/>
  <c r="B74" i="21"/>
  <c r="B72" i="21"/>
  <c r="B70" i="21"/>
  <c r="J12" i="21" s="1"/>
  <c r="AC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c r="Q42" i="21"/>
  <c r="Z42" i="21"/>
  <c r="Q43" i="21"/>
  <c r="Z43" i="21" s="1"/>
  <c r="Q44" i="21"/>
  <c r="Z44" i="21" s="1"/>
  <c r="Q45" i="21"/>
  <c r="Z45" i="21" s="1"/>
  <c r="Q46" i="21"/>
  <c r="Z46" i="21" s="1"/>
  <c r="P47" i="21"/>
  <c r="R47" i="21"/>
  <c r="T47" i="21"/>
  <c r="V47" i="21"/>
  <c r="P48" i="21"/>
  <c r="P49" i="21"/>
  <c r="F8" i="21"/>
  <c r="AA8" i="21" s="1"/>
  <c r="E10" i="11"/>
  <c r="E9" i="11"/>
  <c r="H38" i="21"/>
  <c r="U38" i="21" s="1"/>
  <c r="H43" i="21"/>
  <c r="AB43" i="21" s="1"/>
  <c r="F38" i="21"/>
  <c r="AA38" i="21" s="1"/>
  <c r="F36" i="21"/>
  <c r="S36" i="21" s="1"/>
  <c r="F39" i="21"/>
  <c r="S39" i="21" s="1"/>
  <c r="H35" i="21"/>
  <c r="AB35" i="21" s="1"/>
  <c r="J8" i="21"/>
  <c r="AC8"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J19" i="21"/>
  <c r="W19" i="21" s="1"/>
  <c r="F26" i="21"/>
  <c r="S26" i="21" s="1"/>
  <c r="AB41" i="21"/>
  <c r="U41" i="21"/>
  <c r="S41" i="21"/>
  <c r="AA41" i="21"/>
  <c r="W41" i="21"/>
  <c r="F45" i="39"/>
  <c r="AA45" i="39" s="1"/>
  <c r="J45" i="39"/>
  <c r="W45" i="39" s="1"/>
  <c r="J44" i="39"/>
  <c r="F36" i="39"/>
  <c r="S36" i="39" s="1"/>
  <c r="H36" i="39"/>
  <c r="AB36" i="39" s="1"/>
  <c r="J36" i="39"/>
  <c r="AC36" i="39"/>
  <c r="S8" i="39"/>
  <c r="U38" i="39"/>
  <c r="H32" i="37"/>
  <c r="AB32" i="37" s="1"/>
  <c r="U8" i="37"/>
  <c r="F39" i="37"/>
  <c r="U14" i="37"/>
  <c r="W30" i="37"/>
  <c r="F29" i="36"/>
  <c r="AA29" i="36" s="1"/>
  <c r="F16" i="36"/>
  <c r="S16" i="36" s="1"/>
  <c r="U22" i="36"/>
  <c r="W23" i="36"/>
  <c r="W22" i="36"/>
  <c r="AA31" i="36"/>
  <c r="AC31" i="36"/>
  <c r="W31" i="36"/>
  <c r="U31" i="36"/>
  <c r="J33" i="36"/>
  <c r="W33" i="36" s="1"/>
  <c r="AB34" i="36"/>
  <c r="H22" i="35"/>
  <c r="AB22" i="35" s="1"/>
  <c r="U31" i="35"/>
  <c r="S31" i="35"/>
  <c r="W31" i="35"/>
  <c r="U32" i="35"/>
  <c r="F36" i="34"/>
  <c r="AA36" i="34" s="1"/>
  <c r="U39" i="34"/>
  <c r="H39" i="33"/>
  <c r="AB39" i="33" s="1"/>
  <c r="F26" i="33"/>
  <c r="AA26" i="33" s="1"/>
  <c r="S40" i="33"/>
  <c r="H39" i="37"/>
  <c r="AB39" i="37" s="1"/>
  <c r="S27" i="35"/>
  <c r="F11" i="40"/>
  <c r="AA11" i="40" s="1"/>
  <c r="S8" i="40"/>
  <c r="H11" i="40"/>
  <c r="AB11" i="40"/>
  <c r="W8" i="40"/>
  <c r="U9" i="40"/>
  <c r="S34" i="40"/>
  <c r="U34" i="40"/>
  <c r="F42" i="39"/>
  <c r="AA42" i="39"/>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c r="J23" i="40"/>
  <c r="AC23" i="40" s="1"/>
  <c r="H42" i="39"/>
  <c r="AB42" i="39" s="1"/>
  <c r="J34" i="39"/>
  <c r="AC34" i="39" s="1"/>
  <c r="J31" i="39"/>
  <c r="W31" i="39" s="1"/>
  <c r="H29" i="39"/>
  <c r="U29" i="39" s="1"/>
  <c r="J19" i="39"/>
  <c r="AC19" i="39" s="1"/>
  <c r="J17" i="39"/>
  <c r="W17" i="39" s="1"/>
  <c r="J29" i="39"/>
  <c r="AC29" i="39" s="1"/>
  <c r="F29" i="39"/>
  <c r="AA29" i="39" s="1"/>
  <c r="F11" i="21"/>
  <c r="S11" i="21" s="1"/>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c r="H23" i="40"/>
  <c r="AB23" i="40" s="1"/>
  <c r="J11" i="40"/>
  <c r="W11" i="40" s="1"/>
  <c r="AA12" i="33"/>
  <c r="F37" i="39"/>
  <c r="S37" i="39" s="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c r="H20" i="36"/>
  <c r="J20" i="36"/>
  <c r="W20" i="36" s="1"/>
  <c r="AB8" i="36"/>
  <c r="F14" i="35"/>
  <c r="F23" i="35"/>
  <c r="AA23" i="35" s="1"/>
  <c r="J32" i="35"/>
  <c r="AC32" i="35" s="1"/>
  <c r="J16" i="35"/>
  <c r="W16" i="35" s="1"/>
  <c r="H14" i="35"/>
  <c r="AB14" i="35" s="1"/>
  <c r="H33" i="35"/>
  <c r="AB33" i="35"/>
  <c r="S8" i="35"/>
  <c r="W8" i="35"/>
  <c r="J20" i="35"/>
  <c r="W20" i="35"/>
  <c r="H20" i="35"/>
  <c r="U20" i="35" s="1"/>
  <c r="F20" i="35"/>
  <c r="AA20" i="35" s="1"/>
  <c r="E101" i="37"/>
  <c r="F101" i="37"/>
  <c r="G101" i="37" s="1"/>
  <c r="H101" i="37" s="1"/>
  <c r="I101" i="37" s="1"/>
  <c r="J101" i="37" s="1"/>
  <c r="K101" i="37" s="1"/>
  <c r="L101" i="37" s="1"/>
  <c r="M101" i="37" s="1"/>
  <c r="J34" i="37"/>
  <c r="W34" i="37" s="1"/>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c r="H10" i="34"/>
  <c r="AB10" i="34"/>
  <c r="F41" i="33"/>
  <c r="S41" i="33"/>
  <c r="E113" i="33"/>
  <c r="J34" i="33"/>
  <c r="F36" i="33"/>
  <c r="S36" i="33"/>
  <c r="F25" i="33"/>
  <c r="AA25" i="33"/>
  <c r="J25" i="33"/>
  <c r="AC25" i="33"/>
  <c r="H25" i="33"/>
  <c r="AB25" i="33" s="1"/>
  <c r="J23" i="33"/>
  <c r="AC23" i="33" s="1"/>
  <c r="F23" i="33"/>
  <c r="AA23" i="33" s="1"/>
  <c r="H23" i="33"/>
  <c r="F19" i="33"/>
  <c r="S19" i="33"/>
  <c r="J19" i="33"/>
  <c r="W19" i="33"/>
  <c r="J17" i="33"/>
  <c r="AC17" i="33" s="1"/>
  <c r="H17" i="33"/>
  <c r="AB17" i="33" s="1"/>
  <c r="J15" i="33"/>
  <c r="AC15" i="33" s="1"/>
  <c r="F11" i="33"/>
  <c r="AA11" i="33" s="1"/>
  <c r="W10" i="33"/>
  <c r="H10" i="33"/>
  <c r="U10" i="33"/>
  <c r="S10" i="21"/>
  <c r="S26" i="33"/>
  <c r="U40" i="33"/>
  <c r="U8" i="33"/>
  <c r="S8" i="33"/>
  <c r="F37" i="40"/>
  <c r="AA37" i="40" s="1"/>
  <c r="F36" i="40"/>
  <c r="AA36" i="40"/>
  <c r="J27" i="40"/>
  <c r="W27" i="40"/>
  <c r="F27" i="40"/>
  <c r="S27" i="40"/>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C27" i="40"/>
  <c r="AC42" i="34"/>
  <c r="W42" i="34"/>
  <c r="AA42" i="34"/>
  <c r="S42" i="34"/>
  <c r="W38" i="34"/>
  <c r="J37" i="33"/>
  <c r="AC37" i="33" s="1"/>
  <c r="J36" i="33"/>
  <c r="AC36" i="33" s="1"/>
  <c r="J11" i="33"/>
  <c r="AC11" i="33"/>
  <c r="J42" i="21"/>
  <c r="AC42" i="21" s="1"/>
  <c r="H42" i="21"/>
  <c r="U42" i="21" s="1"/>
  <c r="J10" i="35"/>
  <c r="AC10" i="35" s="1"/>
  <c r="J14" i="21"/>
  <c r="W14" i="21" s="1"/>
  <c r="F14" i="21"/>
  <c r="S14" i="21" s="1"/>
  <c r="H14" i="21"/>
  <c r="U14" i="21" s="1"/>
  <c r="H28" i="21"/>
  <c r="AB28" i="21" s="1"/>
  <c r="F28" i="21"/>
  <c r="AA28" i="21" s="1"/>
  <c r="J28" i="21"/>
  <c r="W28" i="21" s="1"/>
  <c r="H30" i="21"/>
  <c r="AB30" i="21" s="1"/>
  <c r="J30" i="21"/>
  <c r="W30"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AC28" i="33"/>
  <c r="F33" i="35"/>
  <c r="S33" i="35" s="1"/>
  <c r="J33" i="35"/>
  <c r="AC33" i="35" s="1"/>
  <c r="F30" i="35"/>
  <c r="S30" i="35"/>
  <c r="E89" i="35"/>
  <c r="F89" i="35" s="1"/>
  <c r="G89" i="35" s="1"/>
  <c r="H89" i="35" s="1"/>
  <c r="I89" i="35" s="1"/>
  <c r="J89" i="35" s="1"/>
  <c r="K89" i="35" s="1"/>
  <c r="L89" i="35" s="1"/>
  <c r="M89" i="35" s="1"/>
  <c r="H10" i="36"/>
  <c r="U10" i="36" s="1"/>
  <c r="F83" i="36"/>
  <c r="G83" i="36" s="1"/>
  <c r="H83" i="36" s="1"/>
  <c r="I83" i="36" s="1"/>
  <c r="J83" i="36" s="1"/>
  <c r="K83" i="36" s="1"/>
  <c r="L83" i="36" s="1"/>
  <c r="M83" i="36" s="1"/>
  <c r="F28" i="36"/>
  <c r="AA28" i="36"/>
  <c r="J13" i="33"/>
  <c r="AC13" i="33" s="1"/>
  <c r="H13" i="33"/>
  <c r="AB13" i="33" s="1"/>
  <c r="F13" i="33"/>
  <c r="S13" i="33"/>
  <c r="H29" i="33"/>
  <c r="U29" i="33" s="1"/>
  <c r="F29" i="33"/>
  <c r="AA29" i="33" s="1"/>
  <c r="S29" i="33"/>
  <c r="J31" i="33"/>
  <c r="W31" i="33" s="1"/>
  <c r="H31" i="33"/>
  <c r="AB31" i="33" s="1"/>
  <c r="F31" i="33"/>
  <c r="S31" i="33" s="1"/>
  <c r="AA31" i="33"/>
  <c r="H45" i="33"/>
  <c r="U45" i="33" s="1"/>
  <c r="J45" i="33"/>
  <c r="W45" i="33"/>
  <c r="F45" i="33"/>
  <c r="S45" i="33" s="1"/>
  <c r="J14" i="34"/>
  <c r="W14" i="34"/>
  <c r="F14" i="34"/>
  <c r="AA14" i="34" s="1"/>
  <c r="H14" i="34"/>
  <c r="U14" i="34" s="1"/>
  <c r="H30" i="34"/>
  <c r="AB30" i="34" s="1"/>
  <c r="U30" i="34"/>
  <c r="F30" i="34"/>
  <c r="S30" i="34" s="1"/>
  <c r="J30" i="34"/>
  <c r="W30" i="34"/>
  <c r="H32" i="34"/>
  <c r="AB32" i="34" s="1"/>
  <c r="F32" i="34"/>
  <c r="S32" i="34" s="1"/>
  <c r="J32" i="34"/>
  <c r="W32" i="34" s="1"/>
  <c r="H46" i="34"/>
  <c r="U46" i="34" s="1"/>
  <c r="F46" i="34"/>
  <c r="S46" i="34"/>
  <c r="J46" i="34"/>
  <c r="W46" i="34" s="1"/>
  <c r="H11" i="35"/>
  <c r="U11" i="35" s="1"/>
  <c r="J11" i="35"/>
  <c r="AC11" i="35" s="1"/>
  <c r="F11" i="35"/>
  <c r="S11" i="35" s="1"/>
  <c r="J26" i="36"/>
  <c r="W26" i="36" s="1"/>
  <c r="H28" i="36"/>
  <c r="U28" i="36" s="1"/>
  <c r="H32" i="36"/>
  <c r="U32" i="36" s="1"/>
  <c r="J32" i="36"/>
  <c r="W32" i="36"/>
  <c r="J11" i="36"/>
  <c r="AC11" i="36" s="1"/>
  <c r="H11" i="36"/>
  <c r="AB11" i="36" s="1"/>
  <c r="F11" i="36"/>
  <c r="AA11" i="36"/>
  <c r="H13" i="36"/>
  <c r="AB13" i="36" s="1"/>
  <c r="J13" i="36"/>
  <c r="W13" i="36"/>
  <c r="F13" i="36"/>
  <c r="S13" i="36" s="1"/>
  <c r="H36" i="37"/>
  <c r="U36" i="37" s="1"/>
  <c r="H37" i="37"/>
  <c r="AB37" i="37" s="1"/>
  <c r="U37" i="37"/>
  <c r="AC12" i="40"/>
  <c r="W12" i="40"/>
  <c r="H14" i="33"/>
  <c r="U14" i="33" s="1"/>
  <c r="F14" i="33"/>
  <c r="S14" i="33" s="1"/>
  <c r="AA14" i="33"/>
  <c r="J14" i="33"/>
  <c r="W14" i="33" s="1"/>
  <c r="AC14" i="33"/>
  <c r="H30" i="33"/>
  <c r="AB30" i="33"/>
  <c r="F30" i="33"/>
  <c r="S30" i="33" s="1"/>
  <c r="J30" i="33"/>
  <c r="AC30" i="33"/>
  <c r="H44" i="33"/>
  <c r="AB44" i="33" s="1"/>
  <c r="J44" i="33"/>
  <c r="AC44" i="33"/>
  <c r="F44" i="33"/>
  <c r="S44" i="33" s="1"/>
  <c r="J46" i="33"/>
  <c r="W46" i="33" s="1"/>
  <c r="F46" i="33"/>
  <c r="AA46" i="33"/>
  <c r="H46" i="33"/>
  <c r="AB46" i="33"/>
  <c r="H13" i="34"/>
  <c r="U13" i="34" s="1"/>
  <c r="J13" i="34"/>
  <c r="W13" i="34"/>
  <c r="F13" i="34"/>
  <c r="AA13" i="34" s="1"/>
  <c r="J29" i="34"/>
  <c r="AC29" i="34"/>
  <c r="F29" i="34"/>
  <c r="AA29" i="34" s="1"/>
  <c r="H29" i="34"/>
  <c r="U29" i="34"/>
  <c r="J31" i="34"/>
  <c r="AC31" i="34" s="1"/>
  <c r="H31" i="34"/>
  <c r="AB31" i="34"/>
  <c r="F31" i="34"/>
  <c r="AA31" i="34" s="1"/>
  <c r="H45" i="34"/>
  <c r="U45" i="34" s="1"/>
  <c r="J45" i="34"/>
  <c r="W45" i="34" s="1"/>
  <c r="F45" i="34"/>
  <c r="S45" i="34" s="1"/>
  <c r="H47" i="34"/>
  <c r="U47" i="34" s="1"/>
  <c r="F47" i="34"/>
  <c r="S47" i="34" s="1"/>
  <c r="J47" i="34"/>
  <c r="AC47" i="34" s="1"/>
  <c r="F13" i="35"/>
  <c r="S13" i="35" s="1"/>
  <c r="J13" i="35"/>
  <c r="W13" i="35" s="1"/>
  <c r="H13" i="35"/>
  <c r="U13" i="35" s="1"/>
  <c r="J25" i="35"/>
  <c r="W25" i="35" s="1"/>
  <c r="F25" i="35"/>
  <c r="S25" i="35" s="1"/>
  <c r="H25" i="35"/>
  <c r="AB25" i="35" s="1"/>
  <c r="J35" i="35"/>
  <c r="AC35" i="35" s="1"/>
  <c r="F35" i="35"/>
  <c r="AA35" i="35" s="1"/>
  <c r="H35" i="35"/>
  <c r="AB35" i="35" s="1"/>
  <c r="J25" i="36"/>
  <c r="W25" i="36" s="1"/>
  <c r="F25" i="36"/>
  <c r="S25" i="36" s="1"/>
  <c r="H25" i="36"/>
  <c r="AB25" i="36" s="1"/>
  <c r="H13" i="37"/>
  <c r="U13" i="37" s="1"/>
  <c r="F13" i="37"/>
  <c r="AA13" i="37" s="1"/>
  <c r="J13" i="37"/>
  <c r="W13" i="37" s="1"/>
  <c r="F28" i="37"/>
  <c r="AA28" i="37" s="1"/>
  <c r="J28" i="37"/>
  <c r="AC28" i="37" s="1"/>
  <c r="H28" i="37"/>
  <c r="AB28" i="37" s="1"/>
  <c r="H38" i="37"/>
  <c r="AB38" i="37" s="1"/>
  <c r="J38" i="37"/>
  <c r="AC38" i="37" s="1"/>
  <c r="F38" i="37"/>
  <c r="S38" i="37" s="1"/>
  <c r="F43" i="39"/>
  <c r="S43" i="39" s="1"/>
  <c r="H43" i="39"/>
  <c r="U43" i="39" s="1"/>
  <c r="J14" i="39"/>
  <c r="W14" i="39" s="1"/>
  <c r="F12" i="40"/>
  <c r="AA12" i="40" s="1"/>
  <c r="H12" i="40"/>
  <c r="AB12" i="40" s="1"/>
  <c r="H30" i="40"/>
  <c r="AB30" i="40"/>
  <c r="F33" i="40"/>
  <c r="AA33" i="40" s="1"/>
  <c r="H33" i="40"/>
  <c r="AB33" i="40" s="1"/>
  <c r="J35" i="40"/>
  <c r="AC35" i="40" s="1"/>
  <c r="H13" i="40"/>
  <c r="U13" i="40" s="1"/>
  <c r="J13" i="40"/>
  <c r="W13" i="40" s="1"/>
  <c r="F13" i="40"/>
  <c r="AA13" i="40" s="1"/>
  <c r="F14" i="37"/>
  <c r="S14" i="37" s="1"/>
  <c r="F13" i="39"/>
  <c r="S13" i="39" s="1"/>
  <c r="AA13" i="39"/>
  <c r="J13" i="39"/>
  <c r="W13" i="39" s="1"/>
  <c r="H13" i="39"/>
  <c r="U13" i="39" s="1"/>
  <c r="H14" i="40"/>
  <c r="AB14" i="40"/>
  <c r="J14" i="40"/>
  <c r="W14" i="40"/>
  <c r="F14" i="40"/>
  <c r="AA14" i="40" s="1"/>
  <c r="J14" i="37"/>
  <c r="AC14" i="37" s="1"/>
  <c r="AA44" i="33"/>
  <c r="W28" i="37"/>
  <c r="W30" i="33"/>
  <c r="AC14" i="34"/>
  <c r="J10" i="36"/>
  <c r="AC10" i="36" s="1"/>
  <c r="AB46" i="21"/>
  <c r="AC14" i="21"/>
  <c r="S46" i="33"/>
  <c r="AC13" i="36"/>
  <c r="AB45" i="33"/>
  <c r="U31"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c r="F23" i="37"/>
  <c r="S23" i="37" s="1"/>
  <c r="F32" i="37"/>
  <c r="S32" i="37" s="1"/>
  <c r="AA36" i="39"/>
  <c r="F39" i="33"/>
  <c r="S39" i="33" s="1"/>
  <c r="F42" i="33"/>
  <c r="AA42" i="33" s="1"/>
  <c r="F14" i="36"/>
  <c r="AA14" i="36" s="1"/>
  <c r="F22" i="36"/>
  <c r="AA22" i="36" s="1"/>
  <c r="F26" i="36"/>
  <c r="S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AB32" i="40" s="1"/>
  <c r="J36" i="40"/>
  <c r="W36" i="40" s="1"/>
  <c r="H42" i="33"/>
  <c r="U42" i="33" s="1"/>
  <c r="J23" i="37"/>
  <c r="W23" i="37"/>
  <c r="S30" i="31"/>
  <c r="U11" i="40"/>
  <c r="AB20" i="35"/>
  <c r="AA11" i="35"/>
  <c r="S28" i="37"/>
  <c r="U39" i="37"/>
  <c r="S25" i="37"/>
  <c r="W47" i="34"/>
  <c r="AB8" i="34"/>
  <c r="AA13" i="33"/>
  <c r="AC31" i="33"/>
  <c r="AA30" i="33"/>
  <c r="AB10" i="33"/>
  <c r="S11" i="33"/>
  <c r="W10" i="36"/>
  <c r="W38" i="37"/>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AB45" i="39"/>
  <c r="AC13" i="39"/>
  <c r="H37" i="39"/>
  <c r="U37" i="39" s="1"/>
  <c r="AC37" i="39"/>
  <c r="H25" i="39"/>
  <c r="U25" i="39" s="1"/>
  <c r="J25" i="39"/>
  <c r="AC25" i="39" s="1"/>
  <c r="W25" i="39"/>
  <c r="F25" i="39"/>
  <c r="S25" i="39"/>
  <c r="F15" i="39"/>
  <c r="S15" i="39" s="1"/>
  <c r="H15" i="39"/>
  <c r="U15" i="39" s="1"/>
  <c r="J15" i="39"/>
  <c r="AC15" i="39" s="1"/>
  <c r="H41" i="39"/>
  <c r="AB41" i="39" s="1"/>
  <c r="F11" i="39"/>
  <c r="AA11" i="39" s="1"/>
  <c r="H21" i="39"/>
  <c r="U21" i="39" s="1"/>
  <c r="F32" i="39"/>
  <c r="AA32" i="39" s="1"/>
  <c r="S32" i="39"/>
  <c r="W29" i="39"/>
  <c r="W19" i="39"/>
  <c r="S42" i="39"/>
  <c r="S41" i="39"/>
  <c r="W39" i="39"/>
  <c r="W8" i="39"/>
  <c r="W21" i="39"/>
  <c r="J11" i="39"/>
  <c r="W11" i="39" s="1"/>
  <c r="J32" i="39"/>
  <c r="W32" i="39" s="1"/>
  <c r="AA15" i="39"/>
  <c r="E66" i="39"/>
  <c r="E61" i="40"/>
  <c r="F34" i="43"/>
  <c r="C21" i="11"/>
  <c r="C29" i="11" s="1"/>
  <c r="D27" i="11" s="1"/>
  <c r="H55" i="39"/>
  <c r="S30" i="40"/>
  <c r="G60" i="40"/>
  <c r="C60" i="40" s="1"/>
  <c r="H16" i="44"/>
  <c r="D17" i="43"/>
  <c r="I17" i="43"/>
  <c r="D108" i="9"/>
  <c r="F22" i="43"/>
  <c r="G22" i="43"/>
  <c r="H14" i="44"/>
  <c r="W40" i="39"/>
  <c r="AC20" i="35"/>
  <c r="S39" i="34"/>
  <c r="AC10" i="34"/>
  <c r="AB12" i="34"/>
  <c r="AC30" i="34"/>
  <c r="H23" i="34"/>
  <c r="U23" i="34" s="1"/>
  <c r="F33" i="34"/>
  <c r="S33" i="34"/>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W35" i="34" s="1"/>
  <c r="F27" i="34"/>
  <c r="S27" i="34" s="1"/>
  <c r="W34" i="34"/>
  <c r="J33" i="34"/>
  <c r="W33" i="34" s="1"/>
  <c r="J37" i="34"/>
  <c r="W37" i="34" s="1"/>
  <c r="S23" i="34"/>
  <c r="AB33" i="34"/>
  <c r="AC37" i="34"/>
  <c r="J26" i="35"/>
  <c r="W26" i="35" s="1"/>
  <c r="F26" i="35"/>
  <c r="AA26" i="35"/>
  <c r="H26" i="35"/>
  <c r="AB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A14" i="52" s="1"/>
  <c r="B61" i="60" s="1"/>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C101" i="43"/>
  <c r="C105"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AC37" i="37" s="1"/>
  <c r="AB40" i="37"/>
  <c r="U40" i="37"/>
  <c r="AA16" i="35"/>
  <c r="AB29" i="35"/>
  <c r="U29" i="35"/>
  <c r="AA35" i="39"/>
  <c r="U25" i="35"/>
  <c r="W44" i="33"/>
  <c r="AB46" i="34"/>
  <c r="AB38" i="34"/>
  <c r="U38" i="34"/>
  <c r="F40" i="34"/>
  <c r="AA40" i="34" s="1"/>
  <c r="G118" i="34"/>
  <c r="U20" i="36"/>
  <c r="AB20" i="36"/>
  <c r="AA16" i="36"/>
  <c r="AC44" i="39"/>
  <c r="W44" i="39"/>
  <c r="H13" i="21"/>
  <c r="U13" i="21" s="1"/>
  <c r="J13" i="21"/>
  <c r="AC13" i="21" s="1"/>
  <c r="F13" i="21"/>
  <c r="AA13" i="21" s="1"/>
  <c r="J45" i="21"/>
  <c r="AC45" i="21" s="1"/>
  <c r="F45" i="21"/>
  <c r="S45" i="21" s="1"/>
  <c r="B41" i="47"/>
  <c r="C23" i="40"/>
  <c r="AC8" i="34"/>
  <c r="W8" i="34"/>
  <c r="W12" i="34"/>
  <c r="AC12" i="34"/>
  <c r="J9" i="34"/>
  <c r="AC9" i="34" s="1"/>
  <c r="F9" i="34"/>
  <c r="S9" i="34" s="1"/>
  <c r="AA19" i="34"/>
  <c r="S19" i="34"/>
  <c r="AB23" i="36"/>
  <c r="U23" i="36"/>
  <c r="J12" i="36"/>
  <c r="W12" i="36" s="1"/>
  <c r="H12" i="36"/>
  <c r="AB12" i="36" s="1"/>
  <c r="AA9" i="39"/>
  <c r="S9" i="39"/>
  <c r="AB12" i="39"/>
  <c r="U12" i="39"/>
  <c r="J12" i="39"/>
  <c r="AC12" i="39" s="1"/>
  <c r="F12" i="39"/>
  <c r="S12" i="39"/>
  <c r="R29" i="31"/>
  <c r="T29" i="31" s="1"/>
  <c r="F15" i="21"/>
  <c r="S15" i="21" s="1"/>
  <c r="C106" i="9"/>
  <c r="H102" i="9" s="1"/>
  <c r="AA30" i="21"/>
  <c r="J36" i="34"/>
  <c r="AC36" i="34" s="1"/>
  <c r="S8" i="34"/>
  <c r="J19" i="40"/>
  <c r="AC19" i="40" s="1"/>
  <c r="W9" i="39"/>
  <c r="H32" i="39"/>
  <c r="U32" i="39" s="1"/>
  <c r="F21" i="39"/>
  <c r="AA21" i="39" s="1"/>
  <c r="F31" i="37"/>
  <c r="AA31" i="37" s="1"/>
  <c r="U25" i="36"/>
  <c r="F17" i="37"/>
  <c r="AA17" i="37" s="1"/>
  <c r="U33" i="40"/>
  <c r="S12" i="40"/>
  <c r="AB13" i="37"/>
  <c r="U44" i="33"/>
  <c r="AA30" i="34"/>
  <c r="H45" i="21"/>
  <c r="AB45" i="21" s="1"/>
  <c r="J14" i="36"/>
  <c r="AC14" i="36" s="1"/>
  <c r="S15" i="34"/>
  <c r="J40" i="34"/>
  <c r="W40" i="34" s="1"/>
  <c r="S37" i="40"/>
  <c r="H19" i="33"/>
  <c r="U19" i="33" s="1"/>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c r="H9" i="34"/>
  <c r="AB9" i="34" s="1"/>
  <c r="W27" i="34"/>
  <c r="AC27" i="34"/>
  <c r="H28" i="34"/>
  <c r="AB28" i="34" s="1"/>
  <c r="E116" i="34"/>
  <c r="F116" i="34"/>
  <c r="G116" i="34" s="1"/>
  <c r="H116" i="34" s="1"/>
  <c r="I116" i="34" s="1"/>
  <c r="J116" i="34" s="1"/>
  <c r="K116" i="34" s="1"/>
  <c r="L116" i="34" s="1"/>
  <c r="M116" i="34" s="1"/>
  <c r="J39" i="34"/>
  <c r="W39" i="34" s="1"/>
  <c r="J27" i="36"/>
  <c r="F37" i="34"/>
  <c r="AA37" i="34" s="1"/>
  <c r="H37" i="34"/>
  <c r="U37" i="34" s="1"/>
  <c r="AA32" i="37"/>
  <c r="AC14" i="39"/>
  <c r="AC46" i="34"/>
  <c r="AA32" i="34"/>
  <c r="W28" i="33"/>
  <c r="W34" i="33"/>
  <c r="AC34" i="33"/>
  <c r="AA14" i="35"/>
  <c r="S14" i="35"/>
  <c r="S45" i="39"/>
  <c r="J29" i="21"/>
  <c r="AC29" i="21" s="1"/>
  <c r="H29" i="21"/>
  <c r="AB29" i="21" s="1"/>
  <c r="F29" i="21"/>
  <c r="S29" i="21" s="1"/>
  <c r="J31" i="21"/>
  <c r="W31" i="21" s="1"/>
  <c r="H31" i="21"/>
  <c r="U31" i="21" s="1"/>
  <c r="F31" i="21"/>
  <c r="AA31" i="21" s="1"/>
  <c r="H39" i="21"/>
  <c r="U39" i="21" s="1"/>
  <c r="AA9" i="21"/>
  <c r="AA15" i="33"/>
  <c r="S15" i="33"/>
  <c r="AA35" i="33"/>
  <c r="E117" i="33"/>
  <c r="F117" i="33"/>
  <c r="G117" i="33" s="1"/>
  <c r="J39" i="33"/>
  <c r="AC39" i="33" s="1"/>
  <c r="E125" i="33"/>
  <c r="H43" i="33"/>
  <c r="AB43" i="33" s="1"/>
  <c r="E91" i="33"/>
  <c r="F91" i="33" s="1"/>
  <c r="G91" i="33" s="1"/>
  <c r="H91" i="33" s="1"/>
  <c r="I91" i="33" s="1"/>
  <c r="J91" i="33" s="1"/>
  <c r="K91" i="33" s="1"/>
  <c r="L91" i="33" s="1"/>
  <c r="M91" i="33" s="1"/>
  <c r="F27" i="33"/>
  <c r="S27" i="33" s="1"/>
  <c r="H41" i="33"/>
  <c r="AB41" i="33" s="1"/>
  <c r="S12" i="34"/>
  <c r="AA12" i="34"/>
  <c r="AA11" i="34"/>
  <c r="S11" i="34"/>
  <c r="F80" i="34"/>
  <c r="H17" i="34"/>
  <c r="U17" i="34"/>
  <c r="H16" i="35"/>
  <c r="U16" i="35" s="1"/>
  <c r="J24" i="35"/>
  <c r="AC24" i="35" s="1"/>
  <c r="F24" i="35"/>
  <c r="AA24" i="35"/>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S40" i="37" s="1"/>
  <c r="AB25" i="37"/>
  <c r="U8" i="39"/>
  <c r="AB8" i="39"/>
  <c r="J29" i="35"/>
  <c r="AC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c r="H40" i="21"/>
  <c r="AB40" i="21" s="1"/>
  <c r="J40" i="21"/>
  <c r="AC40" i="21" s="1"/>
  <c r="B44" i="47"/>
  <c r="C21" i="40"/>
  <c r="AC33" i="33"/>
  <c r="W33" i="33"/>
  <c r="S34" i="33"/>
  <c r="AA38" i="33"/>
  <c r="S38" i="33"/>
  <c r="AC38" i="33"/>
  <c r="W38" i="33"/>
  <c r="J9" i="33"/>
  <c r="AC9" i="33" s="1"/>
  <c r="F9" i="33"/>
  <c r="AA9" i="33" s="1"/>
  <c r="AA10" i="34"/>
  <c r="S10" i="34"/>
  <c r="F25" i="34"/>
  <c r="AA25" i="34" s="1"/>
  <c r="E126" i="34"/>
  <c r="H44" i="34"/>
  <c r="AB44" i="34" s="1"/>
  <c r="W9" i="36"/>
  <c r="AB26" i="36"/>
  <c r="U26" i="36"/>
  <c r="F20" i="36"/>
  <c r="AA20" i="36" s="1"/>
  <c r="J24" i="36"/>
  <c r="AC24" i="36" s="1"/>
  <c r="H24" i="36"/>
  <c r="AB24" i="36" s="1"/>
  <c r="F24" i="36"/>
  <c r="AA24" i="36" s="1"/>
  <c r="J26" i="37"/>
  <c r="W26" i="37" s="1"/>
  <c r="H26" i="37"/>
  <c r="AB26" i="37" s="1"/>
  <c r="F26" i="37"/>
  <c r="AA26" i="37" s="1"/>
  <c r="J23" i="39"/>
  <c r="AC23" i="39" s="1"/>
  <c r="E97" i="39"/>
  <c r="F97" i="39" s="1"/>
  <c r="G97" i="39" s="1"/>
  <c r="H15" i="37"/>
  <c r="AB15" i="37" s="1"/>
  <c r="F15" i="37"/>
  <c r="S15" i="37" s="1"/>
  <c r="F38" i="40"/>
  <c r="S38" i="40" s="1"/>
  <c r="J38" i="40"/>
  <c r="W38" i="40" s="1"/>
  <c r="H38" i="40"/>
  <c r="AB38" i="40" s="1"/>
  <c r="J40" i="40"/>
  <c r="W40" i="40" s="1"/>
  <c r="H40" i="40"/>
  <c r="AB40" i="40" s="1"/>
  <c r="F40" i="40"/>
  <c r="S40" i="40" s="1"/>
  <c r="N6" i="43"/>
  <c r="M1" i="43"/>
  <c r="F101" i="9"/>
  <c r="F33" i="9"/>
  <c r="C25" i="57"/>
  <c r="N102" i="43"/>
  <c r="G103" i="43"/>
  <c r="F59" i="43"/>
  <c r="H63" i="43" s="1"/>
  <c r="G15" i="47"/>
  <c r="H25" i="34"/>
  <c r="U25" i="34"/>
  <c r="AB24" i="35"/>
  <c r="J17" i="34"/>
  <c r="AC17" i="34" s="1"/>
  <c r="G80" i="34"/>
  <c r="F17" i="34"/>
  <c r="AA17" i="34" s="1"/>
  <c r="H27" i="33"/>
  <c r="AB27" i="33" s="1"/>
  <c r="F43" i="33"/>
  <c r="AA43" i="33" s="1"/>
  <c r="F125" i="33"/>
  <c r="G125" i="33"/>
  <c r="J43" i="33"/>
  <c r="AC43" i="33" s="1"/>
  <c r="S37" i="34"/>
  <c r="H27" i="36"/>
  <c r="AB27" i="36" s="1"/>
  <c r="F27" i="36"/>
  <c r="AA27" i="36" s="1"/>
  <c r="J28" i="34"/>
  <c r="W28" i="34" s="1"/>
  <c r="H11" i="34"/>
  <c r="U11" i="34" s="1"/>
  <c r="J11" i="37"/>
  <c r="AC11" i="37" s="1"/>
  <c r="W9" i="34"/>
  <c r="F23" i="39"/>
  <c r="AA23" i="39" s="1"/>
  <c r="S26" i="37"/>
  <c r="S24" i="36"/>
  <c r="F44" i="34"/>
  <c r="S44" i="34" s="1"/>
  <c r="F126" i="34"/>
  <c r="G126" i="34"/>
  <c r="J44" i="34"/>
  <c r="W44" i="34" s="1"/>
  <c r="S40" i="21"/>
  <c r="U31" i="37"/>
  <c r="W27" i="37"/>
  <c r="H60" i="37"/>
  <c r="I60" i="37" s="1"/>
  <c r="H10" i="37"/>
  <c r="U10" i="37" s="1"/>
  <c r="S24" i="35"/>
  <c r="AA27" i="33"/>
  <c r="S31" i="21"/>
  <c r="AC27" i="36"/>
  <c r="W27" i="36"/>
  <c r="U9" i="34"/>
  <c r="J32" i="33"/>
  <c r="AC32" i="33" s="1"/>
  <c r="H32" i="33"/>
  <c r="AB32" i="33" s="1"/>
  <c r="U45" i="21"/>
  <c r="U12" i="36"/>
  <c r="W45" i="21"/>
  <c r="W13" i="21"/>
  <c r="AA44" i="34"/>
  <c r="S27" i="36"/>
  <c r="AB25" i="34"/>
  <c r="J10" i="37"/>
  <c r="W10" i="37" s="1"/>
  <c r="H23" i="39"/>
  <c r="U23" i="39" s="1"/>
  <c r="J11" i="34"/>
  <c r="W11" i="34" s="1"/>
  <c r="J27" i="33"/>
  <c r="AC27" i="33" s="1"/>
  <c r="W17" i="34"/>
  <c r="J25" i="34"/>
  <c r="W25" i="34" s="1"/>
  <c r="AC11" i="34"/>
  <c r="K53" i="43"/>
  <c r="J53" i="43" s="1"/>
  <c r="D53" i="43"/>
  <c r="M53" i="43"/>
  <c r="N53" i="43" s="1"/>
  <c r="K49" i="43"/>
  <c r="J49" i="43" s="1"/>
  <c r="D49" i="43"/>
  <c r="M49" i="43"/>
  <c r="N49" i="43" s="1"/>
  <c r="K54" i="43"/>
  <c r="J54" i="43"/>
  <c r="D54" i="43"/>
  <c r="M54" i="43"/>
  <c r="N54" i="43" s="1"/>
  <c r="K50" i="43"/>
  <c r="J50" i="43" s="1"/>
  <c r="D50" i="43"/>
  <c r="M50" i="43"/>
  <c r="N50" i="43"/>
  <c r="K55" i="43"/>
  <c r="J55" i="43" s="1"/>
  <c r="D55" i="43"/>
  <c r="M55" i="43"/>
  <c r="N55" i="43"/>
  <c r="K51" i="43"/>
  <c r="J51" i="43" s="1"/>
  <c r="D51" i="43"/>
  <c r="M51" i="43"/>
  <c r="N51" i="43" s="1"/>
  <c r="K48" i="43"/>
  <c r="J48" i="43" s="1"/>
  <c r="D48" i="43"/>
  <c r="M48" i="43"/>
  <c r="N48" i="43" s="1"/>
  <c r="K52" i="43"/>
  <c r="J52" i="43"/>
  <c r="D52" i="43"/>
  <c r="M52" i="43"/>
  <c r="N52" i="43" s="1"/>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J37" i="40"/>
  <c r="AC37" i="40" s="1"/>
  <c r="H35" i="40"/>
  <c r="H37" i="40"/>
  <c r="H28" i="40"/>
  <c r="F28" i="40"/>
  <c r="AA28" i="40" s="1"/>
  <c r="J28" i="40"/>
  <c r="AC28" i="40" s="1"/>
  <c r="F98" i="40"/>
  <c r="G98" i="40"/>
  <c r="H98" i="40" s="1"/>
  <c r="I98" i="40" s="1"/>
  <c r="J98" i="40" s="1"/>
  <c r="K98" i="40" s="1"/>
  <c r="L98" i="40" s="1"/>
  <c r="M98" i="40" s="1"/>
  <c r="F21" i="40"/>
  <c r="AA21" i="40" s="1"/>
  <c r="H21" i="40"/>
  <c r="U21" i="40" s="1"/>
  <c r="F90" i="40"/>
  <c r="G90" i="40" s="1"/>
  <c r="J21" i="40"/>
  <c r="W21" i="40" s="1"/>
  <c r="W19" i="40"/>
  <c r="F86" i="40"/>
  <c r="G86" i="40" s="1"/>
  <c r="H17" i="40"/>
  <c r="AB17" i="40" s="1"/>
  <c r="J17" i="40"/>
  <c r="F17" i="40"/>
  <c r="S17" i="40" s="1"/>
  <c r="F84" i="40"/>
  <c r="G84" i="40" s="1"/>
  <c r="F15" i="40"/>
  <c r="S15" i="40" s="1"/>
  <c r="J15" i="40"/>
  <c r="AC15" i="40" s="1"/>
  <c r="H15" i="40"/>
  <c r="AB15" i="40" s="1"/>
  <c r="AC25" i="40"/>
  <c r="W25" i="40"/>
  <c r="U19" i="40"/>
  <c r="U14" i="40"/>
  <c r="U8" i="40"/>
  <c r="AA19" i="40"/>
  <c r="S36" i="40"/>
  <c r="AA35" i="40"/>
  <c r="AC38" i="39"/>
  <c r="AC17" i="39"/>
  <c r="AA37" i="39"/>
  <c r="AB29" i="39"/>
  <c r="S23" i="39"/>
  <c r="S21" i="39"/>
  <c r="W27" i="39"/>
  <c r="AC27" i="39"/>
  <c r="W35" i="39"/>
  <c r="U41" i="39"/>
  <c r="AB15" i="39"/>
  <c r="U42" i="39"/>
  <c r="AB13" i="39"/>
  <c r="U19" i="39"/>
  <c r="AB27" i="39"/>
  <c r="U27" i="39"/>
  <c r="AA27" i="39"/>
  <c r="S27" i="39"/>
  <c r="S40" i="39"/>
  <c r="S31" i="39"/>
  <c r="AC11" i="39"/>
  <c r="AA12" i="39"/>
  <c r="S34" i="36"/>
  <c r="S11" i="36"/>
  <c r="S12" i="36"/>
  <c r="S22" i="36"/>
  <c r="AC16" i="36"/>
  <c r="U27" i="36"/>
  <c r="AC26" i="36"/>
  <c r="AA25" i="36"/>
  <c r="U14" i="36"/>
  <c r="S10" i="36"/>
  <c r="W18" i="36"/>
  <c r="AC18" i="36"/>
  <c r="AC32" i="36"/>
  <c r="AC20" i="36"/>
  <c r="W29" i="36"/>
  <c r="W28" i="36"/>
  <c r="W8" i="36"/>
  <c r="AB18" i="36"/>
  <c r="U18" i="36"/>
  <c r="S28" i="36"/>
  <c r="S29" i="36"/>
  <c r="W35" i="35"/>
  <c r="W24" i="35"/>
  <c r="AC25" i="35"/>
  <c r="W23" i="35"/>
  <c r="S23" i="35"/>
  <c r="AB23" i="35"/>
  <c r="W14" i="35"/>
  <c r="AC26" i="35"/>
  <c r="W28" i="35"/>
  <c r="AC27" i="35"/>
  <c r="U14" i="35"/>
  <c r="U35" i="35"/>
  <c r="AB10" i="35"/>
  <c r="U8" i="35"/>
  <c r="AA13" i="35"/>
  <c r="S20" i="35"/>
  <c r="AB13" i="35"/>
  <c r="S10" i="35"/>
  <c r="S34" i="37"/>
  <c r="W32" i="37"/>
  <c r="AC12" i="37"/>
  <c r="J33" i="37"/>
  <c r="AC33" i="37" s="1"/>
  <c r="F33" i="37"/>
  <c r="AA33" i="37"/>
  <c r="H99" i="37"/>
  <c r="I99" i="37"/>
  <c r="J99" i="37" s="1"/>
  <c r="K99" i="37" s="1"/>
  <c r="L99" i="37" s="1"/>
  <c r="M99" i="37" s="1"/>
  <c r="H33" i="37"/>
  <c r="U33" i="37" s="1"/>
  <c r="AC35" i="37"/>
  <c r="W35" i="37"/>
  <c r="H35" i="37"/>
  <c r="AB35" i="37" s="1"/>
  <c r="F35" i="37"/>
  <c r="S35" i="37" s="1"/>
  <c r="E103" i="37"/>
  <c r="F103" i="37"/>
  <c r="G103" i="37" s="1"/>
  <c r="H103" i="37" s="1"/>
  <c r="I103" i="37" s="1"/>
  <c r="J103" i="37" s="1"/>
  <c r="K103" i="37" s="1"/>
  <c r="L103" i="37" s="1"/>
  <c r="M103" i="37" s="1"/>
  <c r="AC23" i="37"/>
  <c r="J19" i="37"/>
  <c r="W19" i="37" s="1"/>
  <c r="F19" i="37"/>
  <c r="AA19" i="37" s="1"/>
  <c r="G75" i="37"/>
  <c r="H19" i="37"/>
  <c r="U19" i="37" s="1"/>
  <c r="W17" i="37"/>
  <c r="AC17" i="37"/>
  <c r="AB17" i="37"/>
  <c r="J15" i="37"/>
  <c r="S10" i="37"/>
  <c r="AA11" i="37"/>
  <c r="U9" i="37"/>
  <c r="AB10" i="37"/>
  <c r="AC21" i="37"/>
  <c r="W21" i="37"/>
  <c r="W11" i="37"/>
  <c r="W14" i="37"/>
  <c r="W39" i="37"/>
  <c r="AB11" i="37"/>
  <c r="S37" i="37"/>
  <c r="AA14" i="37"/>
  <c r="AA38" i="37"/>
  <c r="AC39" i="34"/>
  <c r="AC28" i="34"/>
  <c r="AB41" i="34"/>
  <c r="S38" i="34"/>
  <c r="U43" i="34"/>
  <c r="S43" i="34"/>
  <c r="AB17" i="34"/>
  <c r="W15" i="34"/>
  <c r="W31" i="34"/>
  <c r="U21" i="34"/>
  <c r="AB21" i="34"/>
  <c r="AA41" i="34"/>
  <c r="AA46" i="34"/>
  <c r="W42" i="33"/>
  <c r="W11" i="33"/>
  <c r="W25" i="33"/>
  <c r="U34" i="33"/>
  <c r="U38" i="33"/>
  <c r="W37" i="33"/>
  <c r="AC41" i="33"/>
  <c r="AA45" i="33"/>
  <c r="U46" i="33"/>
  <c r="S23" i="33"/>
  <c r="S17" i="33"/>
  <c r="U15" i="33"/>
  <c r="AB9" i="33"/>
  <c r="U9" i="33"/>
  <c r="S10" i="33"/>
  <c r="AC12" i="33"/>
  <c r="W39" i="33"/>
  <c r="W9" i="33"/>
  <c r="AC46" i="33"/>
  <c r="AC19" i="33"/>
  <c r="W21" i="33"/>
  <c r="AC21" i="33"/>
  <c r="AB42" i="33"/>
  <c r="U13" i="33"/>
  <c r="U39" i="33"/>
  <c r="S42" i="33"/>
  <c r="W39" i="21"/>
  <c r="W40" i="21"/>
  <c r="AB21" i="21"/>
  <c r="U21" i="21"/>
  <c r="S13" i="21"/>
  <c r="U10" i="21"/>
  <c r="U9"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Y25" i="31"/>
  <c r="D3" i="21"/>
  <c r="M6" i="43"/>
  <c r="M5" i="43"/>
  <c r="F81" i="43"/>
  <c r="H85"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5" i="43"/>
  <c r="D102" i="43"/>
  <c r="K103" i="43"/>
  <c r="G104" i="43"/>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E105" i="43"/>
  <c r="F106" i="43"/>
  <c r="M12" i="43"/>
  <c r="M8" i="43"/>
  <c r="N7" i="43"/>
  <c r="M3" i="43"/>
  <c r="M11" i="43"/>
  <c r="N8" i="43"/>
  <c r="H8" i="44"/>
  <c r="H12" i="44"/>
  <c r="C63" i="39"/>
  <c r="G64" i="39"/>
  <c r="C64" i="39" s="1"/>
  <c r="M85" i="43"/>
  <c r="N85" i="43" s="1"/>
  <c r="K85" i="43"/>
  <c r="J85" i="43" s="1"/>
  <c r="D85" i="43"/>
  <c r="M82" i="43"/>
  <c r="N82" i="43" s="1"/>
  <c r="K83" i="43"/>
  <c r="J83" i="43" s="1"/>
  <c r="D83" i="43"/>
  <c r="H81" i="43"/>
  <c r="F103" i="43"/>
  <c r="J104" i="43"/>
  <c r="N105" i="43"/>
  <c r="E106" i="43"/>
  <c r="I103" i="43"/>
  <c r="B115" i="43"/>
  <c r="C115" i="43" s="1"/>
  <c r="M7" i="15"/>
  <c r="J6" i="15" s="1"/>
  <c r="F35" i="15"/>
  <c r="F64" i="15" s="1"/>
  <c r="E18" i="1"/>
  <c r="C34" i="11" s="1"/>
  <c r="C36" i="11" s="1"/>
  <c r="C17" i="15"/>
  <c r="A2" i="9"/>
  <c r="W23" i="40"/>
  <c r="U23" i="40"/>
  <c r="U40" i="40"/>
  <c r="S33" i="40"/>
  <c r="AB31" i="40"/>
  <c r="AC14" i="40"/>
  <c r="AC13" i="40"/>
  <c r="S11" i="40"/>
  <c r="AB32" i="39"/>
  <c r="AB37" i="39"/>
  <c r="W42" i="39"/>
  <c r="W34" i="39"/>
  <c r="S11" i="39"/>
  <c r="AA25" i="39"/>
  <c r="U40" i="39"/>
  <c r="AB43" i="39"/>
  <c r="AC41" i="39"/>
  <c r="U11" i="39"/>
  <c r="W36" i="39"/>
  <c r="S34" i="39"/>
  <c r="S39" i="39"/>
  <c r="U9" i="39"/>
  <c r="S20" i="36"/>
  <c r="AA13" i="36"/>
  <c r="AA33" i="36"/>
  <c r="S8" i="36"/>
  <c r="W29" i="35"/>
  <c r="U33" i="35"/>
  <c r="W33" i="35"/>
  <c r="S36" i="35"/>
  <c r="U22" i="35"/>
  <c r="AA33" i="35"/>
  <c r="AA29" i="35"/>
  <c r="S22" i="35"/>
  <c r="U28" i="35"/>
  <c r="AB27" i="35"/>
  <c r="S35" i="35"/>
  <c r="S26" i="35"/>
  <c r="AA25" i="35"/>
  <c r="S28" i="35"/>
  <c r="AC34" i="37"/>
  <c r="U29" i="37"/>
  <c r="U30" i="37"/>
  <c r="U26" i="37"/>
  <c r="AC13" i="37"/>
  <c r="U38" i="37"/>
  <c r="W25" i="37"/>
  <c r="S9" i="37"/>
  <c r="G84" i="34"/>
  <c r="J21" i="34"/>
  <c r="W21" i="34" s="1"/>
  <c r="AC19" i="34"/>
  <c r="AC23" i="34"/>
  <c r="AB37" i="34"/>
  <c r="W41" i="34"/>
  <c r="AA27" i="34"/>
  <c r="AA45" i="34"/>
  <c r="AB45" i="34"/>
  <c r="AB27" i="34"/>
  <c r="W29" i="34"/>
  <c r="W43" i="34"/>
  <c r="U34" i="34"/>
  <c r="S34" i="34"/>
  <c r="AC33" i="34"/>
  <c r="AA33" i="34"/>
  <c r="S35" i="34"/>
  <c r="AB47" i="34"/>
  <c r="U31" i="34"/>
  <c r="AB14" i="34"/>
  <c r="AC45" i="34"/>
  <c r="AC13" i="34"/>
  <c r="U10" i="34"/>
  <c r="S13" i="34"/>
  <c r="AB29" i="34"/>
  <c r="U37" i="33"/>
  <c r="S32" i="33"/>
  <c r="U33" i="33"/>
  <c r="U30" i="33"/>
  <c r="AB26" i="33"/>
  <c r="AA36" i="33"/>
  <c r="W35" i="33"/>
  <c r="W40" i="33"/>
  <c r="S33" i="33"/>
  <c r="U35" i="33"/>
  <c r="U32" i="33"/>
  <c r="AC45" i="33"/>
  <c r="AB29" i="33"/>
  <c r="AB36" i="33"/>
  <c r="W15" i="33"/>
  <c r="AA19" i="33"/>
  <c r="W8" i="33"/>
  <c r="G83" i="21"/>
  <c r="J21" i="21"/>
  <c r="W21" i="21" s="1"/>
  <c r="AA25" i="21"/>
  <c r="U40" i="21"/>
  <c r="S46" i="21"/>
  <c r="W12" i="21"/>
  <c r="S35" i="21"/>
  <c r="C15" i="39"/>
  <c r="C17" i="39"/>
  <c r="C19" i="39"/>
  <c r="C15" i="40"/>
  <c r="C17" i="40"/>
  <c r="B54" i="43"/>
  <c r="B65" i="43"/>
  <c r="U30" i="40"/>
  <c r="B49" i="43"/>
  <c r="B52" i="43"/>
  <c r="B56" i="43"/>
  <c r="B60" i="43"/>
  <c r="U35" i="40"/>
  <c r="AB35" i="40"/>
  <c r="U37" i="40"/>
  <c r="AB37" i="40"/>
  <c r="W37" i="40"/>
  <c r="W28" i="40"/>
  <c r="U28" i="40"/>
  <c r="AB28" i="40"/>
  <c r="AB21" i="40"/>
  <c r="S21" i="40"/>
  <c r="AA17" i="40"/>
  <c r="W17" i="40"/>
  <c r="AC17" i="40"/>
  <c r="S33" i="37"/>
  <c r="AA35" i="37"/>
  <c r="AB19" i="37"/>
  <c r="AC15" i="37"/>
  <c r="W15" i="37"/>
  <c r="M86" i="43"/>
  <c r="N86" i="43" s="1"/>
  <c r="F34" i="11"/>
  <c r="E19" i="1"/>
  <c r="D20" i="1"/>
  <c r="D18" i="1"/>
  <c r="F50" i="11"/>
  <c r="F19" i="1"/>
  <c r="F18" i="1"/>
  <c r="C11" i="12" s="1"/>
  <c r="C15" i="12" s="1"/>
  <c r="D19" i="1"/>
  <c r="K87" i="43"/>
  <c r="J87" i="43" s="1"/>
  <c r="D87" i="43"/>
  <c r="C7" i="43"/>
  <c r="C3" i="4"/>
  <c r="B4" i="55" s="1"/>
  <c r="B53" i="60" s="1"/>
  <c r="J22" i="43"/>
  <c r="M84" i="43"/>
  <c r="N84" i="43"/>
  <c r="K84" i="43"/>
  <c r="J84" i="43" s="1"/>
  <c r="D84" i="43"/>
  <c r="M81" i="43"/>
  <c r="N81" i="43" s="1"/>
  <c r="K81" i="43"/>
  <c r="J81" i="43" s="1"/>
  <c r="D81" i="43"/>
  <c r="M88" i="43"/>
  <c r="N88" i="43" s="1"/>
  <c r="K88" i="43"/>
  <c r="J88" i="43"/>
  <c r="D88" i="43"/>
  <c r="I114" i="57"/>
  <c r="D131" i="57" s="1"/>
  <c r="B41" i="1"/>
  <c r="M27" i="15" s="1"/>
  <c r="C24" i="43"/>
  <c r="D118" i="57"/>
  <c r="D119" i="57"/>
  <c r="I115" i="57" s="1"/>
  <c r="D132" i="57" s="1"/>
  <c r="D134" i="57"/>
  <c r="D130" i="9"/>
  <c r="D13" i="52"/>
  <c r="N46" i="9"/>
  <c r="H59" i="43"/>
  <c r="H60" i="43"/>
  <c r="H9" i="44"/>
  <c r="H7" i="44"/>
  <c r="H10" i="44"/>
  <c r="N12" i="43"/>
  <c r="N4" i="43"/>
  <c r="F70" i="43" s="1"/>
  <c r="M7" i="43"/>
  <c r="N1" i="43"/>
  <c r="M10" i="43"/>
  <c r="M2" i="43"/>
  <c r="H15" i="44"/>
  <c r="H87" i="43"/>
  <c r="H86" i="43"/>
  <c r="H5" i="44"/>
  <c r="N10" i="43"/>
  <c r="N2" i="43"/>
  <c r="N11" i="43"/>
  <c r="N9" i="43"/>
  <c r="M4" i="43"/>
  <c r="C6" i="43" s="1"/>
  <c r="N5" i="43"/>
  <c r="N3" i="43"/>
  <c r="M9" i="43"/>
  <c r="E17" i="43"/>
  <c r="N17" i="43"/>
  <c r="L17" i="43"/>
  <c r="O17" i="43"/>
  <c r="M17" i="43"/>
  <c r="J1" i="61"/>
  <c r="J52" i="15"/>
  <c r="M60" i="15" s="1"/>
  <c r="C15" i="59"/>
  <c r="D15" i="59" s="1"/>
  <c r="D16" i="59"/>
  <c r="B17" i="59"/>
  <c r="B16" i="59" s="1"/>
  <c r="B15" i="59" s="1"/>
  <c r="B14" i="59" s="1"/>
  <c r="B13" i="59" s="1"/>
  <c r="AB17" i="59"/>
  <c r="U17" i="59"/>
  <c r="AA16" i="59"/>
  <c r="X16" i="59"/>
  <c r="AB16" i="59"/>
  <c r="AA15" i="59"/>
  <c r="Y15" i="59"/>
  <c r="Z15" i="59"/>
  <c r="Y13" i="59"/>
  <c r="Z13" i="59" s="1"/>
  <c r="AB13" i="59"/>
  <c r="AB11" i="59"/>
  <c r="X13" i="59"/>
  <c r="X11" i="59"/>
  <c r="AA13" i="59"/>
  <c r="AA11" i="59"/>
  <c r="AB12" i="59"/>
  <c r="X12" i="59"/>
  <c r="U13" i="59"/>
  <c r="J30" i="35"/>
  <c r="W30" i="35"/>
  <c r="H30" i="35"/>
  <c r="U30" i="35" s="1"/>
  <c r="AA30" i="35"/>
  <c r="N56" i="9"/>
  <c r="O56" i="9"/>
  <c r="O58" i="57"/>
  <c r="K58" i="57"/>
  <c r="K59" i="57" s="1"/>
  <c r="K61" i="57" s="1"/>
  <c r="K63" i="57" s="1"/>
  <c r="N58" i="57"/>
  <c r="K56" i="9"/>
  <c r="K57" i="9" s="1"/>
  <c r="K59" i="9" s="1"/>
  <c r="K61" i="9" s="1"/>
  <c r="L58" i="57"/>
  <c r="X3" i="59"/>
  <c r="Y3" i="59"/>
  <c r="Z3" i="59" s="1"/>
  <c r="F48" i="43"/>
  <c r="H50" i="43" s="1"/>
  <c r="G4" i="47"/>
  <c r="S17" i="59"/>
  <c r="AC30" i="35"/>
  <c r="AB30" i="35"/>
  <c r="I116" i="57"/>
  <c r="D133" i="57" s="1"/>
  <c r="D120" i="57"/>
  <c r="I114" i="9"/>
  <c r="D129" i="9" s="1"/>
  <c r="I112" i="9"/>
  <c r="D39" i="50" s="1"/>
  <c r="D40" i="50" s="1"/>
  <c r="D116" i="9"/>
  <c r="D114" i="9"/>
  <c r="D115" i="9"/>
  <c r="I113" i="9" s="1"/>
  <c r="F5" i="61"/>
  <c r="E2" i="35"/>
  <c r="D20" i="57"/>
  <c r="E2" i="36"/>
  <c r="D19" i="57"/>
  <c r="E2" i="21"/>
  <c r="C19" i="57"/>
  <c r="D4" i="61"/>
  <c r="E2" i="33"/>
  <c r="C20" i="57"/>
  <c r="F4" i="61"/>
  <c r="F6" i="61"/>
  <c r="E2" i="11"/>
  <c r="E2" i="37"/>
  <c r="E2" i="34"/>
  <c r="F7" i="61"/>
  <c r="H23" i="31"/>
  <c r="F3" i="61"/>
  <c r="W44" i="21" l="1"/>
  <c r="AC26" i="33"/>
  <c r="W26" i="33"/>
  <c r="AC34" i="35"/>
  <c r="W34" i="35"/>
  <c r="AA32" i="36"/>
  <c r="S32" i="36"/>
  <c r="S23" i="36"/>
  <c r="AA23" i="36"/>
  <c r="E48" i="43"/>
  <c r="B46" i="43" s="1"/>
  <c r="AC44" i="34"/>
  <c r="AB31" i="21"/>
  <c r="S43" i="33"/>
  <c r="S27" i="37"/>
  <c r="S25" i="34"/>
  <c r="AA40" i="37"/>
  <c r="U28" i="34"/>
  <c r="W36" i="34"/>
  <c r="AA45" i="21"/>
  <c r="AB23" i="34"/>
  <c r="AA39" i="33"/>
  <c r="AB14" i="33"/>
  <c r="AA43" i="39"/>
  <c r="U28" i="37"/>
  <c r="S13" i="37"/>
  <c r="AC25" i="36"/>
  <c r="AC13" i="35"/>
  <c r="S31" i="34"/>
  <c r="S29" i="34"/>
  <c r="W11" i="36"/>
  <c r="AB32" i="36"/>
  <c r="H15" i="21"/>
  <c r="AB15" i="21" s="1"/>
  <c r="J36" i="35"/>
  <c r="H36" i="35"/>
  <c r="U17" i="40"/>
  <c r="AB23" i="39"/>
  <c r="AC40" i="37"/>
  <c r="AA40" i="40"/>
  <c r="AA38" i="40"/>
  <c r="U24" i="36"/>
  <c r="U44" i="34"/>
  <c r="U41" i="33"/>
  <c r="AC40" i="34"/>
  <c r="W37" i="37"/>
  <c r="W15" i="39"/>
  <c r="F15" i="47"/>
  <c r="B13" i="47" s="1"/>
  <c r="C20" i="59"/>
  <c r="C19" i="59" s="1"/>
  <c r="D19" i="59" s="1"/>
  <c r="D21" i="59"/>
  <c r="T21" i="59"/>
  <c r="C53" i="59"/>
  <c r="D53" i="59" s="1"/>
  <c r="D52" i="59"/>
  <c r="AC21" i="34"/>
  <c r="S19" i="37"/>
  <c r="U35" i="37"/>
  <c r="C14" i="59"/>
  <c r="C13" i="59" s="1"/>
  <c r="E81" i="43"/>
  <c r="B79" i="43" s="1"/>
  <c r="W33" i="37"/>
  <c r="AA15" i="40"/>
  <c r="F26" i="47"/>
  <c r="B24" i="47" s="1"/>
  <c r="F37" i="47"/>
  <c r="B35" i="47" s="1"/>
  <c r="U32" i="40"/>
  <c r="AA26" i="36"/>
  <c r="AA47" i="34"/>
  <c r="V21" i="59"/>
  <c r="F20" i="59"/>
  <c r="F19" i="59" s="1"/>
  <c r="C40" i="59"/>
  <c r="D40" i="59" s="1"/>
  <c r="D39" i="59"/>
  <c r="U27" i="33"/>
  <c r="AC10" i="37"/>
  <c r="W32" i="33"/>
  <c r="AA34" i="35"/>
  <c r="AC26" i="37"/>
  <c r="W24" i="36"/>
  <c r="AC35" i="34"/>
  <c r="AC32" i="39"/>
  <c r="AB25" i="39"/>
  <c r="J26" i="21"/>
  <c r="W26" i="21" s="1"/>
  <c r="J43" i="21"/>
  <c r="AC43" i="21" s="1"/>
  <c r="C56" i="59"/>
  <c r="D55" i="59"/>
  <c r="C79" i="59"/>
  <c r="D79" i="59" s="1"/>
  <c r="D80" i="59"/>
  <c r="V27" i="31"/>
  <c r="V25" i="31" s="1"/>
  <c r="F100" i="43"/>
  <c r="C108" i="43"/>
  <c r="N108" i="43"/>
  <c r="N109" i="43" s="1"/>
  <c r="U18" i="35"/>
  <c r="B36" i="59"/>
  <c r="AB10" i="43"/>
  <c r="C59" i="59"/>
  <c r="C67" i="59"/>
  <c r="D67" i="59" s="1"/>
  <c r="Q60" i="59"/>
  <c r="X24" i="59"/>
  <c r="Y14" i="59"/>
  <c r="Z14" i="59" s="1"/>
  <c r="Y29" i="59"/>
  <c r="Z29" i="59" s="1"/>
  <c r="B52" i="59"/>
  <c r="B53" i="59" s="1"/>
  <c r="S53" i="59" s="1"/>
  <c r="B64" i="59"/>
  <c r="B63" i="59" s="1"/>
  <c r="F68" i="59"/>
  <c r="F67" i="59" s="1"/>
  <c r="Z10" i="43"/>
  <c r="Y30" i="59"/>
  <c r="Z30" i="59" s="1"/>
  <c r="P72" i="15"/>
  <c r="X27" i="31"/>
  <c r="F7" i="15"/>
  <c r="I20" i="58"/>
  <c r="C71" i="59"/>
  <c r="D71" i="59" s="1"/>
  <c r="P59" i="59"/>
  <c r="E24" i="59"/>
  <c r="E25" i="59" s="1"/>
  <c r="U25" i="59" s="1"/>
  <c r="AA28" i="59"/>
  <c r="AA29" i="59"/>
  <c r="C33" i="59"/>
  <c r="Y31" i="59"/>
  <c r="Z31" i="59" s="1"/>
  <c r="E48" i="59"/>
  <c r="E49" i="59" s="1"/>
  <c r="U49" i="59" s="1"/>
  <c r="P61" i="59"/>
  <c r="B72" i="59"/>
  <c r="B71" i="59" s="1"/>
  <c r="AI10" i="43"/>
  <c r="T17" i="59"/>
  <c r="AB18" i="59"/>
  <c r="U27" i="31"/>
  <c r="C48" i="59"/>
  <c r="U61" i="59"/>
  <c r="AB15" i="59"/>
  <c r="AA9" i="59"/>
  <c r="S44" i="21"/>
  <c r="U44" i="21"/>
  <c r="AB44" i="21"/>
  <c r="AA43" i="21"/>
  <c r="AB39" i="21"/>
  <c r="AA39" i="21"/>
  <c r="AB38" i="21"/>
  <c r="W29" i="21"/>
  <c r="U15" i="21"/>
  <c r="W10" i="21"/>
  <c r="AB8" i="21"/>
  <c r="S8" i="21"/>
  <c r="AC38" i="21"/>
  <c r="AC32" i="21"/>
  <c r="AA32" i="21"/>
  <c r="E125" i="21"/>
  <c r="F125" i="21" s="1"/>
  <c r="G125" i="21" s="1"/>
  <c r="AA36" i="21"/>
  <c r="W36" i="21"/>
  <c r="AB34" i="21"/>
  <c r="S28" i="21"/>
  <c r="U33" i="21"/>
  <c r="S33" i="21"/>
  <c r="AC33" i="21"/>
  <c r="C13" i="12"/>
  <c r="B12" i="59"/>
  <c r="B11" i="59" s="1"/>
  <c r="B10" i="59" s="1"/>
  <c r="B9" i="59" s="1"/>
  <c r="S13" i="59"/>
  <c r="C12" i="59"/>
  <c r="T13" i="59"/>
  <c r="D13" i="59"/>
  <c r="B77" i="43"/>
  <c r="C25" i="39"/>
  <c r="AA9" i="34"/>
  <c r="H64" i="43"/>
  <c r="AB13" i="34"/>
  <c r="S29" i="39"/>
  <c r="M107" i="43"/>
  <c r="B116" i="43"/>
  <c r="C116" i="43" s="1"/>
  <c r="AB32" i="21"/>
  <c r="S40" i="34"/>
  <c r="W27" i="33"/>
  <c r="W12" i="39"/>
  <c r="AB35" i="39"/>
  <c r="W23" i="39"/>
  <c r="U16" i="36"/>
  <c r="U29" i="21"/>
  <c r="AB21" i="39"/>
  <c r="U26" i="35"/>
  <c r="AB36" i="37"/>
  <c r="AB10" i="36"/>
  <c r="S28" i="33"/>
  <c r="F12" i="35"/>
  <c r="J12" i="35"/>
  <c r="H12" i="35"/>
  <c r="AC36" i="40"/>
  <c r="D14" i="59"/>
  <c r="U12" i="40"/>
  <c r="D115" i="43"/>
  <c r="E115" i="43" s="1"/>
  <c r="F115" i="43" s="1"/>
  <c r="U13" i="36"/>
  <c r="AC12" i="36"/>
  <c r="U38" i="40"/>
  <c r="AA29" i="21"/>
  <c r="C110" i="57"/>
  <c r="H104" i="57" s="1"/>
  <c r="H84" i="43"/>
  <c r="W15" i="40"/>
  <c r="S28" i="40"/>
  <c r="AC21" i="40"/>
  <c r="AB40" i="34"/>
  <c r="AC16" i="35"/>
  <c r="AB34" i="35"/>
  <c r="U15" i="40"/>
  <c r="E102" i="43"/>
  <c r="U30" i="21"/>
  <c r="S9" i="33"/>
  <c r="U36" i="34"/>
  <c r="AB27" i="37"/>
  <c r="AC40" i="40"/>
  <c r="AA15" i="37"/>
  <c r="U43" i="33"/>
  <c r="U32" i="34"/>
  <c r="AB28" i="36"/>
  <c r="S14" i="34"/>
  <c r="AC15" i="21"/>
  <c r="U34" i="39"/>
  <c r="AA23" i="37"/>
  <c r="U23" i="37"/>
  <c r="AB14" i="21"/>
  <c r="AB39" i="39"/>
  <c r="AA39" i="37"/>
  <c r="S39" i="37"/>
  <c r="G113" i="21"/>
  <c r="F37" i="21"/>
  <c r="AB11" i="33"/>
  <c r="U11" i="33"/>
  <c r="F14" i="39"/>
  <c r="H14" i="39"/>
  <c r="M104" i="43"/>
  <c r="J107" i="43"/>
  <c r="W11" i="35"/>
  <c r="S14" i="36"/>
  <c r="D117" i="43"/>
  <c r="E117" i="43" s="1"/>
  <c r="F117" i="43" s="1"/>
  <c r="G117" i="43" s="1"/>
  <c r="H117" i="43" s="1"/>
  <c r="B117" i="43"/>
  <c r="C117" i="43" s="1"/>
  <c r="AB33" i="37"/>
  <c r="AC31" i="21"/>
  <c r="AB35" i="34"/>
  <c r="AC29" i="37"/>
  <c r="S31" i="40"/>
  <c r="D118" i="43"/>
  <c r="E118" i="43" s="1"/>
  <c r="F118" i="43" s="1"/>
  <c r="S31" i="37"/>
  <c r="AB16" i="35"/>
  <c r="W14" i="36"/>
  <c r="AB13" i="21"/>
  <c r="S17" i="37"/>
  <c r="U15" i="37"/>
  <c r="AC30" i="21"/>
  <c r="AB11" i="35"/>
  <c r="AC33" i="36"/>
  <c r="AC32" i="34"/>
  <c r="C120" i="57"/>
  <c r="H116" i="57" s="1"/>
  <c r="S17" i="34"/>
  <c r="I14" i="62"/>
  <c r="B8" i="62" s="1"/>
  <c r="D8" i="62" s="1"/>
  <c r="H65" i="43"/>
  <c r="U17" i="33"/>
  <c r="AB19" i="34"/>
  <c r="AB11" i="34"/>
  <c r="AC19" i="37"/>
  <c r="AB13" i="40"/>
  <c r="H66" i="43"/>
  <c r="B23" i="60"/>
  <c r="AC25" i="34"/>
  <c r="AC19" i="21"/>
  <c r="W43" i="33"/>
  <c r="U25" i="33"/>
  <c r="H61" i="43"/>
  <c r="H67" i="43"/>
  <c r="L106" i="9"/>
  <c r="A18" i="55" s="1"/>
  <c r="B48" i="60" s="1"/>
  <c r="B67" i="43"/>
  <c r="AC46" i="21"/>
  <c r="S14" i="40"/>
  <c r="S23" i="40"/>
  <c r="D116" i="43"/>
  <c r="E116" i="43" s="1"/>
  <c r="F116" i="43" s="1"/>
  <c r="G116" i="43" s="1"/>
  <c r="H116" i="43" s="1"/>
  <c r="W13" i="33"/>
  <c r="W17" i="33"/>
  <c r="S36" i="34"/>
  <c r="W10" i="35"/>
  <c r="AA12" i="37"/>
  <c r="U11" i="36"/>
  <c r="S28" i="34"/>
  <c r="H12" i="21"/>
  <c r="J9" i="21"/>
  <c r="W9" i="21" s="1"/>
  <c r="J9" i="35"/>
  <c r="F9" i="35"/>
  <c r="H44" i="39"/>
  <c r="F44" i="39"/>
  <c r="S32" i="35"/>
  <c r="H19" i="21"/>
  <c r="AB19" i="21" s="1"/>
  <c r="F12" i="21"/>
  <c r="U12" i="33"/>
  <c r="U9" i="35"/>
  <c r="E8" i="59"/>
  <c r="E7" i="59" s="1"/>
  <c r="E6" i="59" s="1"/>
  <c r="E5" i="59" s="1"/>
  <c r="U5" i="59" s="1"/>
  <c r="U9" i="59"/>
  <c r="J39" i="40"/>
  <c r="H39" i="40"/>
  <c r="F39" i="40"/>
  <c r="F9" i="36"/>
  <c r="H9" i="36"/>
  <c r="U33" i="59"/>
  <c r="M19" i="43"/>
  <c r="C49" i="59"/>
  <c r="D48" i="59"/>
  <c r="U21" i="37"/>
  <c r="AB21" i="37"/>
  <c r="U25" i="40"/>
  <c r="AB25" i="40"/>
  <c r="AC12" i="43"/>
  <c r="AC13" i="43" s="1"/>
  <c r="AC10" i="43"/>
  <c r="AB25" i="59"/>
  <c r="AA17" i="59"/>
  <c r="AB14" i="59"/>
  <c r="X5" i="59"/>
  <c r="D108" i="43"/>
  <c r="D100" i="43"/>
  <c r="C25" i="59"/>
  <c r="D24" i="59"/>
  <c r="AB22" i="59"/>
  <c r="AB28" i="59"/>
  <c r="B56" i="59"/>
  <c r="B57" i="59" s="1"/>
  <c r="S57" i="59" s="1"/>
  <c r="P60" i="59"/>
  <c r="AA30" i="59"/>
  <c r="Y25" i="59"/>
  <c r="Z25" i="59" s="1"/>
  <c r="F16" i="59"/>
  <c r="F15" i="59" s="1"/>
  <c r="F14" i="59" s="1"/>
  <c r="F13" i="59" s="1"/>
  <c r="X17" i="59"/>
  <c r="X10" i="59"/>
  <c r="Y6" i="59"/>
  <c r="Z6" i="59" s="1"/>
  <c r="C18" i="9"/>
  <c r="D18" i="9" s="1"/>
  <c r="D4" i="47"/>
  <c r="F4" i="47" s="1"/>
  <c r="B2" i="47" s="1"/>
  <c r="AA3" i="59"/>
  <c r="X20" i="59"/>
  <c r="AA24" i="59"/>
  <c r="X26" i="59"/>
  <c r="X27" i="59"/>
  <c r="V73" i="59"/>
  <c r="F72" i="59"/>
  <c r="F71" i="59" s="1"/>
  <c r="Y24" i="59"/>
  <c r="Z24" i="59" s="1"/>
  <c r="Y12" i="59"/>
  <c r="Z12" i="59" s="1"/>
  <c r="Y11" i="59"/>
  <c r="Z11" i="59" s="1"/>
  <c r="AB21" i="59"/>
  <c r="B25" i="59"/>
  <c r="S25" i="59" s="1"/>
  <c r="AB24" i="59"/>
  <c r="AB19" i="59"/>
  <c r="Y20" i="59"/>
  <c r="Z20" i="59" s="1"/>
  <c r="C28" i="59"/>
  <c r="Y27" i="59"/>
  <c r="Z27" i="59" s="1"/>
  <c r="X30" i="59"/>
  <c r="AA23" i="59"/>
  <c r="Y17" i="59"/>
  <c r="Z17" i="59" s="1"/>
  <c r="AB10" i="59"/>
  <c r="AB3" i="59"/>
  <c r="S21" i="33"/>
  <c r="Y19" i="59"/>
  <c r="Z19" i="59" s="1"/>
  <c r="X23" i="59"/>
  <c r="X25" i="59"/>
  <c r="Y26" i="59"/>
  <c r="Z26" i="59" s="1"/>
  <c r="AA27" i="59"/>
  <c r="AB30" i="59"/>
  <c r="F31" i="59"/>
  <c r="F32" i="59" s="1"/>
  <c r="F33" i="59" s="1"/>
  <c r="V33" i="59" s="1"/>
  <c r="X29" i="59"/>
  <c r="AA22" i="59"/>
  <c r="L100" i="43"/>
  <c r="L108" i="43"/>
  <c r="L109" i="43" s="1"/>
  <c r="T53" i="59"/>
  <c r="D20" i="59"/>
  <c r="D51" i="59"/>
  <c r="E21" i="59"/>
  <c r="AA19" i="59"/>
  <c r="AA20" i="59"/>
  <c r="AA21" i="59"/>
  <c r="AA18" i="59"/>
  <c r="Y23" i="59"/>
  <c r="Z23" i="59" s="1"/>
  <c r="AB27" i="59"/>
  <c r="AB29" i="59"/>
  <c r="B37" i="59"/>
  <c r="S37" i="59" s="1"/>
  <c r="C45" i="59"/>
  <c r="D44" i="59"/>
  <c r="F56" i="59"/>
  <c r="F57" i="59" s="1"/>
  <c r="V57" i="59" s="1"/>
  <c r="X22" i="59"/>
  <c r="AA14" i="59"/>
  <c r="AA12" i="59"/>
  <c r="AB9" i="59"/>
  <c r="Y10" i="59"/>
  <c r="Z10" i="59" s="1"/>
  <c r="I21" i="58"/>
  <c r="D1" i="58" s="1"/>
  <c r="E10" i="58" s="1"/>
  <c r="S18" i="35"/>
  <c r="AA25" i="59"/>
  <c r="E29" i="59"/>
  <c r="U29" i="59" s="1"/>
  <c r="X28" i="59"/>
  <c r="T65" i="59"/>
  <c r="D65" i="59"/>
  <c r="C64" i="59"/>
  <c r="AB6" i="59"/>
  <c r="H100" i="43"/>
  <c r="H108" i="43"/>
  <c r="AB20" i="59"/>
  <c r="B21" i="59"/>
  <c r="X21" i="59"/>
  <c r="X18" i="59"/>
  <c r="X19" i="59"/>
  <c r="AB23" i="59"/>
  <c r="AA26" i="59"/>
  <c r="Y28" i="59"/>
  <c r="Z28" i="59" s="1"/>
  <c r="C36" i="59"/>
  <c r="D35" i="59"/>
  <c r="AB26" i="59"/>
  <c r="AA10" i="59"/>
  <c r="AB7" i="59"/>
  <c r="AA6" i="59"/>
  <c r="X25" i="31"/>
  <c r="C37" i="57" s="1"/>
  <c r="F125" i="57" s="1"/>
  <c r="G125" i="57" s="1"/>
  <c r="AB21" i="33"/>
  <c r="AA21" i="34"/>
  <c r="D59" i="59"/>
  <c r="Y21" i="59"/>
  <c r="Z21" i="59" s="1"/>
  <c r="X15" i="59"/>
  <c r="M100" i="43"/>
  <c r="B60" i="59"/>
  <c r="Y22" i="59"/>
  <c r="Z22" i="59" s="1"/>
  <c r="AA8" i="59"/>
  <c r="AA5" i="59"/>
  <c r="I100" i="43"/>
  <c r="E108" i="43"/>
  <c r="E109" i="43" s="1"/>
  <c r="C31" i="58"/>
  <c r="C30" i="58"/>
  <c r="E26" i="58" s="1"/>
  <c r="S25" i="40"/>
  <c r="C25" i="40"/>
  <c r="D60" i="59"/>
  <c r="D43" i="59"/>
  <c r="B27" i="59"/>
  <c r="B28" i="59" s="1"/>
  <c r="B29" i="59" s="1"/>
  <c r="S29" i="59" s="1"/>
  <c r="A12" i="52"/>
  <c r="B67" i="60" s="1"/>
  <c r="Y16" i="59"/>
  <c r="Z16" i="59" s="1"/>
  <c r="X6" i="59"/>
  <c r="AA7" i="59"/>
  <c r="E72" i="59"/>
  <c r="E71" i="59" s="1"/>
  <c r="Y18" i="59"/>
  <c r="Z18" i="59" s="1"/>
  <c r="N61" i="59"/>
  <c r="F64" i="59"/>
  <c r="F63" i="59" s="1"/>
  <c r="AB8" i="59"/>
  <c r="Y5" i="59"/>
  <c r="Z5" i="59" s="1"/>
  <c r="U25" i="31"/>
  <c r="C36" i="57" s="1"/>
  <c r="D125" i="57" s="1"/>
  <c r="L108" i="57" s="1"/>
  <c r="B66" i="43"/>
  <c r="X8" i="59"/>
  <c r="X7" i="59"/>
  <c r="Y8" i="59"/>
  <c r="Z8" i="59" s="1"/>
  <c r="AB5" i="59"/>
  <c r="Y7" i="59"/>
  <c r="Z7" i="59" s="1"/>
  <c r="AB25" i="21"/>
  <c r="W25" i="21"/>
  <c r="W43" i="21"/>
  <c r="U43" i="21"/>
  <c r="B63" i="43"/>
  <c r="W42" i="21"/>
  <c r="S38" i="21"/>
  <c r="AC28" i="21"/>
  <c r="U28" i="21"/>
  <c r="AB36" i="21"/>
  <c r="AA34" i="21"/>
  <c r="AB11" i="21"/>
  <c r="W11" i="21"/>
  <c r="S42" i="21"/>
  <c r="AB42" i="21"/>
  <c r="W34" i="21"/>
  <c r="U26" i="21"/>
  <c r="AA26" i="21"/>
  <c r="W17" i="21"/>
  <c r="U17" i="21"/>
  <c r="S17" i="21"/>
  <c r="S21" i="21"/>
  <c r="W23" i="21"/>
  <c r="AB23" i="21"/>
  <c r="S23" i="21"/>
  <c r="AC21" i="21"/>
  <c r="S19" i="21"/>
  <c r="C29" i="39"/>
  <c r="B55" i="43"/>
  <c r="B74" i="43"/>
  <c r="AA15" i="21"/>
  <c r="W8" i="21"/>
  <c r="D42" i="50"/>
  <c r="D43" i="50" s="1"/>
  <c r="K106" i="43"/>
  <c r="H102" i="43"/>
  <c r="A8" i="52"/>
  <c r="B65" i="60" s="1"/>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8" i="39"/>
  <c r="E68" i="39" s="1"/>
  <c r="E70"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E20" i="43"/>
  <c r="G20" i="57"/>
  <c r="C105" i="57" s="1"/>
  <c r="C104" i="57"/>
  <c r="D104" i="57"/>
  <c r="D3" i="61"/>
  <c r="D7" i="61"/>
  <c r="D5" i="61"/>
  <c r="D6" i="61"/>
  <c r="K1" i="61" l="1"/>
  <c r="AC26" i="21"/>
  <c r="W36" i="35"/>
  <c r="AC36" i="35"/>
  <c r="T33" i="59"/>
  <c r="D33" i="59"/>
  <c r="D56" i="59"/>
  <c r="C57" i="59"/>
  <c r="O59" i="59"/>
  <c r="O58" i="59"/>
  <c r="AB36" i="35"/>
  <c r="U36" i="35"/>
  <c r="H113" i="21"/>
  <c r="J37" i="21"/>
  <c r="H37" i="21"/>
  <c r="AC9" i="21"/>
  <c r="U19" i="21"/>
  <c r="C8" i="62"/>
  <c r="F68" i="39"/>
  <c r="D70" i="39"/>
  <c r="F126" i="57"/>
  <c r="AC39" i="40"/>
  <c r="W39" i="40"/>
  <c r="AA44" i="39"/>
  <c r="S44" i="39"/>
  <c r="AA37" i="21"/>
  <c r="S37" i="21"/>
  <c r="S21" i="59"/>
  <c r="B20" i="59"/>
  <c r="B19" i="59" s="1"/>
  <c r="T49" i="59"/>
  <c r="D49" i="59"/>
  <c r="U44" i="39"/>
  <c r="AB44" i="39"/>
  <c r="D36" i="59"/>
  <c r="C37" i="59"/>
  <c r="AA9" i="35"/>
  <c r="S9" i="35"/>
  <c r="U12" i="35"/>
  <c r="AB12" i="35"/>
  <c r="F12" i="59"/>
  <c r="F11" i="59" s="1"/>
  <c r="F10" i="59" s="1"/>
  <c r="F9" i="59" s="1"/>
  <c r="V13" i="59"/>
  <c r="T25" i="59"/>
  <c r="D25" i="59"/>
  <c r="AC9" i="35"/>
  <c r="W9" i="35"/>
  <c r="W12" i="35"/>
  <c r="AC12" i="35"/>
  <c r="AB9" i="36"/>
  <c r="U9" i="36"/>
  <c r="AB14" i="39"/>
  <c r="U14" i="39"/>
  <c r="S12" i="35"/>
  <c r="AA12" i="35"/>
  <c r="H7" i="37"/>
  <c r="AB7" i="37" s="1"/>
  <c r="T42" i="37" s="1"/>
  <c r="G42" i="37" s="1"/>
  <c r="G46" i="37" s="1"/>
  <c r="H46" i="37" s="1"/>
  <c r="N60" i="59"/>
  <c r="B59" i="59"/>
  <c r="AA9" i="36"/>
  <c r="S9" i="36"/>
  <c r="AA12" i="21"/>
  <c r="S12" i="21"/>
  <c r="U12" i="21"/>
  <c r="AB12" i="21"/>
  <c r="AA14" i="39"/>
  <c r="S14" i="39"/>
  <c r="C11" i="59"/>
  <c r="D12" i="59"/>
  <c r="D64" i="59"/>
  <c r="C63" i="59"/>
  <c r="D63" i="59" s="1"/>
  <c r="T45" i="59"/>
  <c r="D45" i="59"/>
  <c r="C29" i="59"/>
  <c r="D28" i="59"/>
  <c r="AA39" i="40"/>
  <c r="S39" i="40"/>
  <c r="F7" i="37"/>
  <c r="S7" i="37" s="1"/>
  <c r="U21" i="59"/>
  <c r="E20" i="59"/>
  <c r="E19" i="59" s="1"/>
  <c r="U39" i="40"/>
  <c r="AB39" i="40"/>
  <c r="B8" i="59"/>
  <c r="B7" i="59" s="1"/>
  <c r="B6" i="59" s="1"/>
  <c r="B5" i="59" s="1"/>
  <c r="S5" i="59" s="1"/>
  <c r="S9" i="59"/>
  <c r="F7" i="35"/>
  <c r="AA7" i="35" s="1"/>
  <c r="R38" i="35" s="1"/>
  <c r="C18" i="15"/>
  <c r="C16" i="15"/>
  <c r="J7" i="35"/>
  <c r="W7"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L49" i="15"/>
  <c r="I20" i="43"/>
  <c r="B14" i="1"/>
  <c r="AC7" i="37"/>
  <c r="V42" i="37" s="1"/>
  <c r="I42" i="37" s="1"/>
  <c r="W7" i="37"/>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G1" i="61"/>
  <c r="T57" i="59" l="1"/>
  <c r="D57" i="59"/>
  <c r="W37" i="21"/>
  <c r="AC37" i="21"/>
  <c r="U37" i="21"/>
  <c r="AB37" i="21"/>
  <c r="E27" i="1"/>
  <c r="F24" i="15" s="1"/>
  <c r="S7" i="35"/>
  <c r="G68" i="39"/>
  <c r="F70" i="39"/>
  <c r="T37" i="59"/>
  <c r="D37" i="59"/>
  <c r="C10" i="59"/>
  <c r="D11" i="59"/>
  <c r="N58" i="59"/>
  <c r="N59" i="59"/>
  <c r="F8" i="59"/>
  <c r="F7" i="59" s="1"/>
  <c r="F6" i="59" s="1"/>
  <c r="F5" i="59" s="1"/>
  <c r="V5" i="59" s="1"/>
  <c r="V9" i="59"/>
  <c r="D29" i="59"/>
  <c r="T29" i="59"/>
  <c r="AA7" i="37"/>
  <c r="R42" i="37" s="1"/>
  <c r="C19" i="15"/>
  <c r="C20" i="15" s="1"/>
  <c r="C26" i="15" s="1"/>
  <c r="J7" i="36"/>
  <c r="W7" i="36"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G42" i="35"/>
  <c r="H42" i="35" s="1"/>
  <c r="G43" i="35"/>
  <c r="H43" i="35" s="1"/>
  <c r="R49" i="33"/>
  <c r="E48" i="33"/>
  <c r="F7" i="36"/>
  <c r="I42" i="35"/>
  <c r="J42" i="35" s="1"/>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5" i="12" l="1"/>
  <c r="C27" i="12" s="1"/>
  <c r="C25" i="12" s="1"/>
  <c r="G70" i="39"/>
  <c r="H68" i="39"/>
  <c r="R43" i="37"/>
  <c r="E42" i="37"/>
  <c r="D10" i="59"/>
  <c r="C9" i="59"/>
  <c r="U7" i="36"/>
  <c r="AC7" i="36"/>
  <c r="V36" i="36" s="1"/>
  <c r="I36"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3" i="11"/>
  <c r="C44" i="11"/>
  <c r="D41" i="11" s="1"/>
  <c r="C42" i="11"/>
  <c r="C26" i="11"/>
  <c r="D22" i="11" s="1"/>
  <c r="C24" i="11"/>
  <c r="C61" i="15"/>
  <c r="C67" i="15"/>
  <c r="C38" i="15"/>
  <c r="C26" i="12" l="1"/>
  <c r="D25" i="12" s="1"/>
  <c r="I68" i="39"/>
  <c r="H70" i="39"/>
  <c r="C8" i="59"/>
  <c r="T9" i="59"/>
  <c r="D9" i="59"/>
  <c r="I47" i="37"/>
  <c r="J47" i="37" s="1"/>
  <c r="E46" i="37"/>
  <c r="F46" i="37" s="1"/>
  <c r="E47" i="37"/>
  <c r="F47" i="37" s="1"/>
  <c r="C42" i="37"/>
  <c r="C43" i="37"/>
  <c r="B2" i="37" s="1"/>
  <c r="B3" i="37" s="1"/>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I70" i="39" l="1"/>
  <c r="J68" i="39"/>
  <c r="D8" i="59"/>
  <c r="C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F7" i="21" l="1"/>
  <c r="AA7" i="21" s="1"/>
  <c r="K68" i="39"/>
  <c r="J70" i="39"/>
  <c r="D7" i="59"/>
  <c r="C6" i="59"/>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U7" i="21"/>
  <c r="AC7" i="21"/>
  <c r="W7" i="21"/>
  <c r="J59" i="34"/>
  <c r="Q46" i="15"/>
  <c r="C62" i="15"/>
  <c r="C60" i="15" s="1"/>
  <c r="C57" i="15"/>
  <c r="C66" i="15" s="1"/>
  <c r="C37" i="15"/>
  <c r="C30" i="15" s="1"/>
  <c r="C39" i="15" s="1"/>
  <c r="Q68" i="15"/>
  <c r="J16" i="15"/>
  <c r="J25" i="15" s="1"/>
  <c r="S7" i="21" l="1"/>
  <c r="K70" i="39"/>
  <c r="L68" i="39"/>
  <c r="D6" i="59"/>
  <c r="C5" i="59"/>
  <c r="C98" i="57"/>
  <c r="E98" i="57" s="1"/>
  <c r="E99" i="57" s="1"/>
  <c r="N71" i="57"/>
  <c r="O71" i="57" s="1"/>
  <c r="O61" i="57"/>
  <c r="O60" i="57"/>
  <c r="Q59" i="57"/>
  <c r="J65" i="40"/>
  <c r="K63" i="40"/>
  <c r="K59" i="34"/>
  <c r="C59" i="15"/>
  <c r="C68" i="15" s="1"/>
  <c r="C69" i="15" s="1"/>
  <c r="C72" i="15" s="1"/>
  <c r="C40" i="15"/>
  <c r="L52" i="15" s="1"/>
  <c r="J38" i="15"/>
  <c r="J39" i="15" s="1"/>
  <c r="Q67" i="15"/>
  <c r="Q66" i="15" s="1"/>
  <c r="L70" i="39" l="1"/>
  <c r="M68" i="39"/>
  <c r="T5" i="59"/>
  <c r="D5" i="59"/>
  <c r="M20" i="43"/>
  <c r="O63" i="57"/>
  <c r="O62" i="57"/>
  <c r="L63" i="40"/>
  <c r="K65" i="40"/>
  <c r="L59" i="34"/>
  <c r="C47" i="15"/>
  <c r="J41" i="15"/>
  <c r="J42" i="15" s="1"/>
  <c r="Q54" i="15"/>
  <c r="C43" i="15"/>
  <c r="Q65" i="15"/>
  <c r="Q45" i="15"/>
  <c r="Q51" i="15" s="1"/>
  <c r="Q63" i="15"/>
  <c r="N68" i="39" l="1"/>
  <c r="M70" i="39"/>
  <c r="D35" i="9"/>
  <c r="D34" i="9" s="1"/>
  <c r="L65" i="40"/>
  <c r="M63" i="40"/>
  <c r="M59" i="34"/>
  <c r="N59" i="34" s="1"/>
  <c r="O59" i="34" s="1"/>
  <c r="H7" i="34" s="1"/>
  <c r="L58" i="15"/>
  <c r="L61" i="15" s="1"/>
  <c r="N70" i="39" l="1"/>
  <c r="O68" i="39"/>
  <c r="O70" i="39" s="1"/>
  <c r="J7" i="39" s="1"/>
  <c r="Q64" i="15"/>
  <c r="Q73" i="15" s="1"/>
  <c r="L47" i="15"/>
  <c r="F7" i="34"/>
  <c r="S7" i="34" s="1"/>
  <c r="J7" i="34"/>
  <c r="W7" i="34" s="1"/>
  <c r="M65" i="40"/>
  <c r="N63" i="40"/>
  <c r="AB7" i="34"/>
  <c r="T49" i="34" s="1"/>
  <c r="G49" i="34" s="1"/>
  <c r="U7" i="34"/>
  <c r="Q55" i="15"/>
  <c r="Q60" i="15" s="1"/>
  <c r="D55" i="9"/>
  <c r="N53" i="9" s="1"/>
  <c r="D56" i="9"/>
  <c r="N54" i="9" s="1"/>
  <c r="D59" i="9"/>
  <c r="N55" i="9" s="1"/>
  <c r="F7" i="39" l="1"/>
  <c r="H7" i="39"/>
  <c r="AB7" i="39" s="1"/>
  <c r="T47" i="39" s="1"/>
  <c r="G47" i="39" s="1"/>
  <c r="AC7" i="39"/>
  <c r="V47" i="39" s="1"/>
  <c r="I47" i="39" s="1"/>
  <c r="I51" i="39" s="1"/>
  <c r="J51" i="39" s="1"/>
  <c r="W7" i="39"/>
  <c r="AA7" i="39"/>
  <c r="R47" i="39" s="1"/>
  <c r="S7" i="39"/>
  <c r="AA7" i="34"/>
  <c r="R49" i="34" s="1"/>
  <c r="R50" i="34" s="1"/>
  <c r="B2" i="15"/>
  <c r="B3" i="15"/>
  <c r="AC7" i="34"/>
  <c r="V49" i="34" s="1"/>
  <c r="I49" i="34" s="1"/>
  <c r="G54" i="34" s="1"/>
  <c r="H54" i="34" s="1"/>
  <c r="O63" i="40"/>
  <c r="O65" i="40" s="1"/>
  <c r="N65" i="40"/>
  <c r="G53" i="34"/>
  <c r="H53" i="34" s="1"/>
  <c r="G52" i="39" l="1"/>
  <c r="H52" i="39" s="1"/>
  <c r="G51" i="39"/>
  <c r="H51" i="39" s="1"/>
  <c r="U7" i="39"/>
  <c r="R48" i="39"/>
  <c r="E47" i="39"/>
  <c r="E49" i="34"/>
  <c r="I54" i="34" s="1"/>
  <c r="J54" i="34" s="1"/>
  <c r="I53" i="34"/>
  <c r="J53" i="34" s="1"/>
  <c r="C50" i="34"/>
  <c r="B2" i="34" s="1"/>
  <c r="B3" i="34" s="1"/>
  <c r="C49" i="34"/>
  <c r="H7" i="40"/>
  <c r="J7" i="40"/>
  <c r="F7" i="40"/>
  <c r="E52" i="39" l="1"/>
  <c r="F52" i="39" s="1"/>
  <c r="I52" i="39"/>
  <c r="J52" i="39" s="1"/>
  <c r="E51" i="39"/>
  <c r="F51" i="39" s="1"/>
  <c r="C48" i="39"/>
  <c r="C47" i="39"/>
  <c r="E53" i="34"/>
  <c r="F53" i="34" s="1"/>
  <c r="E54" i="34"/>
  <c r="F54" i="34" s="1"/>
  <c r="AC7" i="40"/>
  <c r="V42" i="40" s="1"/>
  <c r="I42" i="40" s="1"/>
  <c r="I46" i="40" s="1"/>
  <c r="J46" i="40" s="1"/>
  <c r="W7" i="40"/>
  <c r="S7" i="40"/>
  <c r="AA7" i="40"/>
  <c r="R42" i="40" s="1"/>
  <c r="R43" i="40" s="1"/>
  <c r="AB7" i="40"/>
  <c r="T42" i="40" s="1"/>
  <c r="G42" i="40" s="1"/>
  <c r="G46" i="40" s="1"/>
  <c r="H46" i="40" s="1"/>
  <c r="U7" i="40"/>
  <c r="B62" i="39" l="1"/>
  <c r="F62" i="39" s="1"/>
  <c r="B59" i="39"/>
  <c r="F59" i="39" s="1"/>
  <c r="B57" i="39"/>
  <c r="F57" i="39" s="1"/>
  <c r="B56" i="39"/>
  <c r="F56" i="39" s="1"/>
  <c r="F66" i="39" s="1"/>
  <c r="B2" i="39" s="1"/>
  <c r="B3" i="39" s="1"/>
  <c r="B64" i="39"/>
  <c r="F64" i="39" s="1"/>
  <c r="B61" i="39"/>
  <c r="F61" i="39" s="1"/>
  <c r="B58" i="39"/>
  <c r="F58" i="39" s="1"/>
  <c r="B60" i="39"/>
  <c r="F60" i="39" s="1"/>
  <c r="B63" i="39"/>
  <c r="F63" i="39" s="1"/>
  <c r="B65" i="39"/>
  <c r="F65"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N49" i="9"/>
  <c r="M65" i="9" s="1"/>
  <c r="N65" i="9" s="1"/>
  <c r="M63" i="9"/>
  <c r="N63" i="9" s="1"/>
  <c r="N69" i="9" s="1"/>
  <c r="O69" i="9" s="1"/>
  <c r="M64" i="9" l="1"/>
  <c r="N64" i="9" s="1"/>
  <c r="M68" i="9"/>
  <c r="N68" i="9" s="1"/>
  <c r="M66" i="9"/>
  <c r="N66" i="9" s="1"/>
  <c r="M67" i="9"/>
  <c r="N67" i="9" s="1"/>
  <c r="D8" i="50"/>
  <c r="B22" i="60" s="1"/>
  <c r="C7" i="11" l="1"/>
  <c r="C5" i="11" s="1"/>
  <c r="C20" i="11" l="1"/>
  <c r="C23" i="11"/>
  <c r="C28" i="11" l="1"/>
  <c r="C27" i="11" s="1"/>
  <c r="C25" i="11"/>
  <c r="C22" i="11" s="1"/>
  <c r="C31" i="11" l="1"/>
  <c r="C52" i="11" s="1"/>
  <c r="C56" i="11" s="1"/>
  <c r="C57" i="11" s="1"/>
  <c r="B3" i="11" l="1"/>
  <c r="B2" i="11"/>
  <c r="C20" i="9"/>
  <c r="C19" i="9"/>
  <c r="C101" i="9" l="1"/>
  <c r="C102" i="9"/>
  <c r="J27" i="21"/>
  <c r="W27" i="21" s="1"/>
  <c r="AC27" i="21" l="1"/>
  <c r="V48" i="21" s="1"/>
  <c r="I48" i="21" s="1"/>
  <c r="H27" i="21"/>
  <c r="F27" i="21"/>
  <c r="S27" i="21" s="1"/>
  <c r="AA27" i="21" l="1"/>
  <c r="R48" i="21" s="1"/>
  <c r="AB27" i="21"/>
  <c r="T48" i="21" s="1"/>
  <c r="G48" i="21" s="1"/>
  <c r="U27" i="21"/>
  <c r="I52" i="21"/>
  <c r="J52" i="21" s="1"/>
  <c r="G52" i="21" l="1"/>
  <c r="H52" i="21" s="1"/>
  <c r="G53" i="21"/>
  <c r="H53" i="21" s="1"/>
  <c r="E48" i="21"/>
  <c r="R49" i="21"/>
  <c r="E53" i="21" l="1"/>
  <c r="F53" i="21" s="1"/>
  <c r="E52" i="21"/>
  <c r="F52" i="21" s="1"/>
  <c r="I53" i="21"/>
  <c r="J53" i="21" s="1"/>
  <c r="C48" i="21"/>
  <c r="C49" i="21"/>
  <c r="B2" i="21" l="1"/>
  <c r="B3" i="21"/>
  <c r="D19" i="9"/>
  <c r="D20" i="9"/>
  <c r="D101" i="9" l="1"/>
  <c r="G19" i="9"/>
  <c r="D22" i="9"/>
  <c r="D102" i="9"/>
  <c r="G20" i="9"/>
  <c r="C32" i="9" s="1"/>
  <c r="C35" i="9" l="1"/>
  <c r="G121" i="9" s="1"/>
  <c r="F121" i="9" s="1"/>
  <c r="F122" i="9" s="1"/>
  <c r="I121" i="9"/>
  <c r="D107" i="9" l="1"/>
  <c r="I103" i="9"/>
  <c r="C104" i="9"/>
  <c r="H121" i="9"/>
  <c r="C34" i="9"/>
  <c r="E121" i="9" s="1"/>
  <c r="D121" i="9" s="1"/>
  <c r="D122" i="9" s="1"/>
  <c r="H122" i="9" l="1"/>
  <c r="C103" i="9"/>
  <c r="D14" i="62"/>
  <c r="D106" i="9"/>
  <c r="D112" i="9" s="1"/>
  <c r="I102" i="9"/>
  <c r="N48" i="9" l="1"/>
  <c r="I110" i="9"/>
  <c r="D125" i="9" s="1"/>
  <c r="G14" i="62" s="1"/>
  <c r="B6" i="62" s="1"/>
  <c r="D45" i="9"/>
  <c r="D113" i="9"/>
  <c r="I111" i="9" s="1"/>
  <c r="D126" i="9" s="1"/>
  <c r="D117" i="9"/>
  <c r="I115" i="9" s="1"/>
  <c r="F14" i="62"/>
  <c r="B5" i="62"/>
  <c r="E14" i="62"/>
  <c r="C6" i="62" l="1"/>
  <c r="D6" i="62"/>
  <c r="D5" i="62"/>
  <c r="C5" i="62"/>
  <c r="D52" i="9"/>
  <c r="C85" i="9"/>
  <c r="C78" i="9"/>
  <c r="C73" i="9" s="1"/>
  <c r="C64" i="9"/>
  <c r="C63" i="9" s="1"/>
  <c r="C67" i="9" s="1"/>
  <c r="C68" i="9" s="1"/>
  <c r="D54" i="9" s="1"/>
  <c r="C93" i="9"/>
  <c r="C86" i="9" s="1"/>
  <c r="C72" i="9"/>
  <c r="D53" i="9"/>
  <c r="D48" i="9" s="1"/>
  <c r="N52" i="9" s="1"/>
  <c r="O57" i="9" s="1"/>
  <c r="C79" i="9" l="1"/>
  <c r="C95" i="9"/>
  <c r="Q57" i="9"/>
  <c r="O59" i="9"/>
  <c r="O58" i="9"/>
  <c r="C80" i="9" l="1"/>
  <c r="E80" i="9" s="1"/>
  <c r="E81" i="9" s="1"/>
  <c r="O60" i="9"/>
  <c r="O61" i="9"/>
  <c r="C96" i="9"/>
  <c r="E96" i="9" s="1"/>
  <c r="E97"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<sst xmlns="http://schemas.openxmlformats.org/spreadsheetml/2006/main" count="9225" uniqueCount="3709">
  <si>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</si>
  <si>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</si>
  <si>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</si>
  <si>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</si>
  <si>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</si>
  <si>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</si>
  <si>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</si>
  <si>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</si>
  <si>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</si>
  <si>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</si>
  <si>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</si>
  <si>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</si>
  <si>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</si>
  <si>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</si>
  <si>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</si>
  <si>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</si>
  <si>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</si>
  <si>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</si>
  <si>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</si>
  <si>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</si>
  <si>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</si>
  <si>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</si>
  <si>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</si>
  <si>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</si>
  <si>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</si>
  <si>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</si>
  <si>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</si>
  <si>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</si>
  <si>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</si>
  <si>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</si>
  <si>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</si>
  <si>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</si>
  <si>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</si>
  <si>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</si>
  <si>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</si>
  <si>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</si>
  <si>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</si>
  <si>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</si>
  <si>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</si>
  <si>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</si>
  <si>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</si>
  <si>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</si>
  <si>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</si>
  <si>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</si>
  <si>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</si>
  <si>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</si>
  <si>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</si>
  <si>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</si>
  <si>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</si>
  <si>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</si>
  <si>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</si>
  <si>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</si>
  <si>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</si>
  <si>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</si>
  <si>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</si>
  <si>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</si>
  <si>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</si>
  <si>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</si>
  <si>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</si>
  <si>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</si>
  <si>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</si>
  <si>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</si>
  <si>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</si>
  <si>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</si>
  <si>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</si>
  <si>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</si>
  <si>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</si>
  <si>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</si>
  <si>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</si>
  <si>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</si>
  <si>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</si>
  <si>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</si>
  <si>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</si>
  <si>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</si>
  <si>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</si>
  <si>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</si>
  <si>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</si>
  <si>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</si>
  <si>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</si>
  <si>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</si>
  <si>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</si>
  <si>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</si>
  <si>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</si>
  <si>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</si>
  <si>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</si>
  <si>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</si>
  <si>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</si>
  <si>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</si>
  <si>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</si>
  <si>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</si>
  <si>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</si>
  <si>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</si>
  <si>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</si>
  <si>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</si>
  <si>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</si>
  <si>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</si>
  <si>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</si>
  <si>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</si>
  <si>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</si>
  <si>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</si>
  <si>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</si>
  <si>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</si>
  <si>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</si>
  <si>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</si>
  <si>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</si>
  <si>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</si>
  <si>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</si>
  <si>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</si>
  <si>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</si>
  <si>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</si>
  <si>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</si>
  <si>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</si>
  <si>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</si>
  <si>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</si>
  <si>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</si>
  <si>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</si>
  <si>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</si>
  <si>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</si>
  <si>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</si>
  <si>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</si>
  <si>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</si>
  <si>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</si>
  <si>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</si>
  <si>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</si>
  <si>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</si>
  <si>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</si>
  <si>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</si>
  <si>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</si>
  <si>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</si>
  <si>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</si>
  <si>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</si>
  <si>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</si>
  <si>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</si>
  <si>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</si>
  <si>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</si>
  <si>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</si>
  <si>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</si>
  <si>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</si>
  <si>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</si>
  <si>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</si>
  <si>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</si>
  <si>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</si>
  <si>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</si>
  <si>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</si>
  <si>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</si>
  <si>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</si>
  <si>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</si>
  <si>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</si>
  <si>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</si>
  <si>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</si>
  <si>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</si>
  <si>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</si>
  <si>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</si>
  <si>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</si>
  <si>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</si>
  <si>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</si>
  <si>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</si>
  <si>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</si>
  <si>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</si>
  <si>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</si>
  <si>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</si>
  <si>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</si>
  <si>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</si>
  <si>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</si>
  <si>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</si>
  <si>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</si>
  <si>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</si>
  <si>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</si>
  <si>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</si>
  <si>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</si>
  <si>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</si>
  <si>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</si>
  <si>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</si>
  <si>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</si>
  <si>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</si>
  <si>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</si>
  <si>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</si>
  <si>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</si>
  <si>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</si>
  <si>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</si>
  <si>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</si>
  <si>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</si>
  <si>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</si>
  <si>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</si>
  <si>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</si>
  <si>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</si>
  <si>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</si>
  <si>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</si>
  <si>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</si>
  <si>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</si>
  <si>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</si>
  <si>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</si>
  <si>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</si>
  <si>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</si>
  <si>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</si>
  <si>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</si>
  <si>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</si>
  <si>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</si>
  <si>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</si>
  <si>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</si>
  <si>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</si>
  <si>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</si>
  <si>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</si>
  <si>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</si>
  <si>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</si>
  <si>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</si>
  <si>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</si>
  <si>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</si>
  <si>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</si>
  <si>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</si>
  <si>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</si>
  <si>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</si>
  <si>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</si>
  <si>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</si>
  <si>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</si>
  <si>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</si>
  <si>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</si>
  <si>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</si>
  <si>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</si>
  <si>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</si>
  <si>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</si>
  <si>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</si>
  <si>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</si>
  <si>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</si>
  <si>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</si>
  <si>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</si>
  <si>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</si>
  <si>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</si>
  <si>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</si>
  <si>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</si>
  <si>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</si>
  <si>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</si>
  <si>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</si>
  <si>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</si>
  <si>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</si>
  <si>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</si>
  <si>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</si>
  <si>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</si>
  <si>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</si>
  <si>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</si>
  <si>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</si>
  <si>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</si>
  <si>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</si>
  <si>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</si>
  <si>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</si>
  <si>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</si>
  <si>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</si>
  <si>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</si>
  <si>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</si>
  <si>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</si>
  <si>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</si>
  <si>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</si>
  <si>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</si>
  <si>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</si>
  <si>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</si>
  <si>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</si>
  <si>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</si>
  <si>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</si>
  <si>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</si>
  <si>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</si>
  <si>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</si>
  <si>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</si>
  <si>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</si>
  <si>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</si>
  <si>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</si>
  <si>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</si>
  <si>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</si>
  <si>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</si>
  <si>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</si>
  <si>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</si>
  <si>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</si>
  <si>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</si>
  <si>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</si>
  <si>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</si>
  <si>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</si>
  <si>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</si>
  <si>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</si>
  <si>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</si>
  <si>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</si>
  <si>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</si>
  <si>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</si>
  <si>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</si>
  <si>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</si>
  <si>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</si>
  <si>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</si>
  <si>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</si>
  <si>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</si>
  <si>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</si>
  <si>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</si>
  <si>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</si>
  <si>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</si>
  <si>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</si>
  <si>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</si>
  <si>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</si>
  <si>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</si>
  <si>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</si>
  <si>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</si>
  <si>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</si>
  <si>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</si>
  <si>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</si>
  <si>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</si>
  <si>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</si>
  <si>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</si>
  <si>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</si>
  <si>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</si>
  <si>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</si>
  <si>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</si>
  <si>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</si>
  <si>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</si>
  <si>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</si>
  <si>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</si>
  <si>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</si>
  <si>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</si>
  <si>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</si>
  <si>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</si>
  <si>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</si>
  <si>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</si>
  <si>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</si>
  <si>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</si>
  <si>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</si>
  <si>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</si>
  <si>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</si>
  <si>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</si>
  <si>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</si>
  <si>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</si>
  <si>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</si>
  <si>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</si>
  <si>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</si>
  <si>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</si>
  <si>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</si>
  <si>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</si>
  <si>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</si>
  <si>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</si>
  <si>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</si>
  <si>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</si>
  <si>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</si>
  <si>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</si>
  <si>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</si>
  <si>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</si>
  <si>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</si>
  <si>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</si>
  <si>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</si>
  <si>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</si>
  <si>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</si>
  <si>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</si>
  <si>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</si>
  <si>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</si>
  <si>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</si>
  <si>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</si>
  <si>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</si>
  <si>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</si>
  <si>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</si>
  <si>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</si>
  <si>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</si>
  <si>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</si>
  <si>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</si>
  <si>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</si>
  <si>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</si>
  <si>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</si>
  <si>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</si>
  <si>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</si>
  <si>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</si>
  <si>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</si>
  <si>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</si>
  <si>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</si>
  <si>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</si>
  <si>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</si>
  <si>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</si>
  <si>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</si>
  <si>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</si>
  <si>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</si>
  <si>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</si>
  <si>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</si>
  <si>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</si>
  <si>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</si>
  <si>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</si>
  <si>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</si>
  <si>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</si>
  <si>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</si>
  <si>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</si>
  <si>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</si>
  <si>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</si>
  <si>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</si>
  <si>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</si>
  <si>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</si>
  <si>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</si>
  <si>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</si>
  <si>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</si>
  <si>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</si>
  <si>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</si>
  <si>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</si>
  <si>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</si>
  <si>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</si>
  <si>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</si>
  <si>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</si>
  <si>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</si>
  <si>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</si>
  <si>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</si>
  <si>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</si>
  <si>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</si>
  <si>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</si>
  <si>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</si>
  <si>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</si>
  <si>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</si>
  <si>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</si>
  <si>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</si>
  <si>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</si>
  <si>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</si>
  <si>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</si>
  <si>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</si>
  <si>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</si>
  <si>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</si>
  <si>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</si>
  <si>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</si>
  <si>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</si>
  <si>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</si>
  <si>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</si>
  <si>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</si>
  <si>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</si>
  <si>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</si>
  <si>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</si>
  <si>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</si>
  <si>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</si>
  <si>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</si>
  <si>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</si>
  <si>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</si>
  <si>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</si>
  <si>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</si>
  <si>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</si>
  <si>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</si>
  <si>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</si>
  <si>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</si>
  <si>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</si>
  <si>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</si>
  <si>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</si>
  <si>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</si>
  <si>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</si>
  <si>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</si>
  <si>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</si>
  <si>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</si>
  <si>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</si>
  <si>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</si>
  <si>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</si>
  <si>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</si>
  <si>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</si>
  <si>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</si>
  <si>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</si>
  <si>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</si>
  <si>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</si>
  <si>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</si>
  <si>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</si>
  <si>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</si>
  <si>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</si>
  <si>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</si>
  <si>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</si>
  <si>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</si>
  <si>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</si>
  <si>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</si>
  <si>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</si>
  <si>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</si>
  <si>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</si>
  <si>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</si>
  <si>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</si>
  <si>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</si>
  <si>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</si>
  <si>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</si>
  <si>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</si>
  <si>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</si>
  <si>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</si>
  <si>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</si>
  <si>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</si>
  <si>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</si>
  <si>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</si>
  <si>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</si>
  <si>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</si>
  <si>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</si>
  <si>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</si>
  <si>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</si>
  <si>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</si>
  <si>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</si>
  <si>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</si>
  <si>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</si>
  <si>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</si>
  <si>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</si>
  <si>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</si>
  <si>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</si>
  <si>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</si>
  <si>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</si>
  <si>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</si>
  <si>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</si>
  <si>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</si>
  <si>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</si>
  <si>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</si>
  <si>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</si>
  <si>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</si>
  <si>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</si>
  <si>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</si>
  <si>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</si>
  <si>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</si>
  <si>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</si>
  <si>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</si>
  <si>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</si>
  <si>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</si>
  <si>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</si>
  <si>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</si>
  <si>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</si>
  <si>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</si>
  <si>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</si>
  <si>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</si>
  <si>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</si>
  <si>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</si>
  <si>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</si>
  <si>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</si>
  <si>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</si>
  <si>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</si>
  <si>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</si>
  <si>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</si>
  <si>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</si>
  <si>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</si>
  <si>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</si>
  <si>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</si>
  <si>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</si>
  <si>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</si>
  <si>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</si>
  <si>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</si>
  <si>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</si>
  <si>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</si>
  <si>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</si>
  <si>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</si>
  <si>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</si>
  <si>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</si>
  <si>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</si>
  <si>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</si>
  <si>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</si>
  <si>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</si>
  <si>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</si>
  <si>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</si>
  <si>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</si>
  <si>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</si>
  <si>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</si>
  <si>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</si>
  <si>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</si>
  <si>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</si>
  <si>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</si>
  <si>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</si>
  <si>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</si>
  <si>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</si>
  <si>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</si>
  <si>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</si>
  <si>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</si>
  <si>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</si>
  <si>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</si>
  <si>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</si>
  <si>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</si>
  <si>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</si>
  <si>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</si>
  <si>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</si>
  <si>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</si>
  <si>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</si>
  <si>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</si>
  <si>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</si>
  <si>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</si>
  <si>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</si>
  <si>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</si>
  <si>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</si>
  <si>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</si>
  <si>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</si>
  <si>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</si>
  <si>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</si>
  <si>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</si>
  <si>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</si>
  <si>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</si>
  <si>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</si>
  <si>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</si>
  <si>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</si>
  <si>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</si>
  <si>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</si>
  <si>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</si>
  <si>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</si>
  <si>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</si>
  <si>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</si>
  <si>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</si>
  <si>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</si>
  <si>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</si>
  <si>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</si>
  <si>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</si>
  <si>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</si>
  <si>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</si>
  <si>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</si>
  <si>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</si>
  <si>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</si>
  <si>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</si>
  <si>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</si>
  <si>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</si>
  <si>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</si>
  <si>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</si>
  <si>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</si>
  <si>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</si>
  <si>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</si>
  <si>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</si>
  <si>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</si>
  <si>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</si>
  <si>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</si>
  <si>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</si>
  <si>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</si>
  <si>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</si>
  <si>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</si>
  <si>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</si>
  <si>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</si>
  <si>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</si>
  <si>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</si>
  <si>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</si>
  <si>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</si>
  <si>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</si>
  <si>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</si>
  <si>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</si>
  <si>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</si>
  <si>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</si>
  <si>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</si>
  <si>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</si>
  <si>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</si>
  <si>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</si>
  <si>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</si>
  <si>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</si>
  <si>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</si>
  <si>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</si>
  <si>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</si>
  <si>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</si>
  <si>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</si>
  <si>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</si>
  <si>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</si>
  <si>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</si>
  <si>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</si>
  <si>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</si>
  <si>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</si>
  <si>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</si>
  <si>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</si>
  <si>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</si>
  <si>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</si>
  <si>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</si>
  <si>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</si>
  <si>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</si>
  <si>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</si>
  <si>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</si>
  <si>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</si>
  <si>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</si>
  <si>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</si>
  <si>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</si>
  <si>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</si>
  <si>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</si>
  <si>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</si>
  <si>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</si>
  <si>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</si>
  <si>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</si>
  <si>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</si>
  <si>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</si>
  <si>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</si>
  <si>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</si>
  <si>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</si>
  <si>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</si>
  <si>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</si>
  <si>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</si>
  <si>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</si>
  <si>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</si>
  <si>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</si>
  <si>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</si>
  <si>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</si>
  <si>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</si>
  <si>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</si>
  <si>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</si>
  <si>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</si>
  <si>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</si>
  <si>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</si>
  <si>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</si>
  <si>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</si>
  <si>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</si>
  <si>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</si>
  <si>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</si>
  <si>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</si>
  <si>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</si>
  <si>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</si>
  <si>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</si>
  <si>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</si>
  <si>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</si>
  <si>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</si>
  <si>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</si>
  <si>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</si>
  <si>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</si>
  <si>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</si>
  <si>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</si>
  <si>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</si>
  <si>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</si>
  <si>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</si>
  <si>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</si>
  <si>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</si>
  <si>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</si>
  <si>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</si>
  <si>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</si>
  <si>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</si>
  <si>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</si>
  <si>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</si>
  <si>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</si>
  <si>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</si>
  <si>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</si>
  <si>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</si>
  <si>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</si>
  <si>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</si>
  <si>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</si>
  <si>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</si>
  <si>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</si>
  <si>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</si>
  <si>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</si>
  <si>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</si>
  <si>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</si>
  <si>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</si>
  <si>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</si>
  <si>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</si>
  <si>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</si>
  <si>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</si>
  <si>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</si>
  <si>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</si>
  <si>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</si>
  <si>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</si>
  <si>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</si>
  <si>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</si>
  <si>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</si>
  <si>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</si>
  <si>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</si>
  <si>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</si>
  <si>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</si>
  <si>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</si>
  <si>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</si>
  <si>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</si>
  <si>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</si>
  <si>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</si>
  <si>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</si>
  <si>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</si>
  <si>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</si>
  <si>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</si>
  <si>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</si>
  <si>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</si>
  <si>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</si>
  <si>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</si>
  <si>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</si>
  <si>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</si>
  <si>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</si>
  <si>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</si>
  <si>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</si>
  <si>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</si>
  <si>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</si>
  <si>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</si>
  <si>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</si>
  <si>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</si>
  <si>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</si>
  <si>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</si>
  <si>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</si>
  <si>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</si>
  <si>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</si>
  <si>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</si>
  <si>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</si>
  <si>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</si>
  <si>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</si>
  <si>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</si>
  <si>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</si>
  <si>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</si>
  <si>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</si>
  <si>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</si>
  <si>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</si>
  <si>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</si>
  <si>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</si>
  <si>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</si>
  <si>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</si>
  <si>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</si>
  <si>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</si>
  <si>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</si>
  <si>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</si>
  <si>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</si>
  <si>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</si>
  <si>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</si>
  <si>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</si>
  <si>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</si>
  <si>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</si>
  <si>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</si>
  <si>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</si>
  <si>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</si>
  <si>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</si>
  <si>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</si>
  <si>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</si>
  <si>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</si>
  <si>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</si>
  <si>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</si>
  <si>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</si>
  <si>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</si>
  <si>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</si>
  <si>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</si>
  <si>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</si>
  <si>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</si>
  <si>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</si>
  <si>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</si>
  <si>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</si>
  <si>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</si>
  <si>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</si>
  <si>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</si>
  <si>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</si>
  <si>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</si>
  <si>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</si>
  <si>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</si>
  <si>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</si>
  <si>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</si>
  <si>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</si>
  <si>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</si>
  <si>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</si>
  <si>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</si>
  <si>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</si>
  <si>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</si>
  <si>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</si>
  <si>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</si>
  <si>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</si>
  <si>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</si>
  <si>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</si>
  <si>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</si>
  <si>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</si>
  <si>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</si>
  <si>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</si>
  <si>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</si>
  <si>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</si>
  <si>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</si>
  <si>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</si>
  <si>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</si>
  <si>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</si>
  <si>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</si>
  <si>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</si>
  <si>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</si>
  <si>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</si>
  <si>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</si>
  <si>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</si>
  <si>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</si>
  <si>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</si>
  <si>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</si>
  <si>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</si>
  <si>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</si>
  <si>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</si>
  <si>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</si>
  <si>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</si>
  <si>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</si>
  <si>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</si>
  <si>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</si>
  <si>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</si>
  <si>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</si>
  <si>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</si>
  <si>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</si>
  <si>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</si>
  <si>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</si>
  <si>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</si>
  <si>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</si>
  <si>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</si>
  <si>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</si>
  <si>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</si>
  <si>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</si>
  <si>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</si>
  <si>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</si>
  <si>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</si>
  <si>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</si>
  <si>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</si>
  <si>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</si>
  <si>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</si>
  <si>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</si>
  <si>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</si>
  <si>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</si>
  <si>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</si>
  <si>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</si>
  <si>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</si>
  <si>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</si>
  <si>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</si>
  <si>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</si>
  <si>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</si>
  <si>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</si>
  <si>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</si>
  <si>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</si>
  <si>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</si>
  <si>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</si>
  <si>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</si>
  <si>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</si>
  <si>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</si>
  <si>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</si>
  <si>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</si>
  <si>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</si>
  <si>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</si>
  <si>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</si>
  <si>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</si>
  <si>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</si>
  <si>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</si>
  <si>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</si>
  <si>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</si>
  <si>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</si>
  <si>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</si>
  <si>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</si>
  <si>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</si>
  <si>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</si>
  <si>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</si>
  <si>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</si>
  <si>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</si>
  <si>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</si>
  <si>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</si>
  <si>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</si>
  <si>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</si>
  <si>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</si>
  <si>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</si>
  <si>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</si>
  <si>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</si>
  <si>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</si>
  <si>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</si>
  <si>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</si>
  <si>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</si>
  <si>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</si>
  <si>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</si>
  <si>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</si>
  <si>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</si>
  <si>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</si>
  <si>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</si>
  <si>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</si>
  <si>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</si>
  <si>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</si>
  <si>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</si>
  <si>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</si>
  <si>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</si>
  <si>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</si>
  <si>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</si>
  <si>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</si>
  <si>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</si>
  <si>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</si>
  <si>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</si>
  <si>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</si>
  <si>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</si>
  <si>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</si>
  <si>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</si>
  <si>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</si>
  <si>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</si>
  <si>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</si>
  <si>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</si>
  <si>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</si>
  <si>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</si>
  <si>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</si>
  <si>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</si>
  <si>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</si>
  <si>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</si>
  <si>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</si>
  <si>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</si>
  <si>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</si>
  <si>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</si>
  <si>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</si>
  <si>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</si>
  <si>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</si>
  <si>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</si>
  <si>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</si>
  <si>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</si>
  <si>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</si>
  <si>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</si>
  <si>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</si>
  <si>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</si>
  <si>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</si>
  <si>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</si>
  <si>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</si>
  <si>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</si>
  <si>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</si>
  <si>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</si>
  <si>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</si>
  <si>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</si>
  <si>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</si>
  <si>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</si>
  <si>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</si>
  <si>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</si>
  <si>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</si>
  <si>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</si>
  <si>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</si>
  <si>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</si>
  <si>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</si>
  <si>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</si>
  <si>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</si>
  <si>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</si>
  <si>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</si>
  <si>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</si>
  <si>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</si>
  <si>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</si>
  <si>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</si>
  <si>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</si>
  <si>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</si>
  <si>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</si>
  <si>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</si>
  <si>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</si>
  <si>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</si>
  <si>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</si>
  <si>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</si>
  <si>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</si>
  <si>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</si>
  <si>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</si>
  <si>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</si>
  <si>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</si>
  <si>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</si>
  <si>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</si>
  <si>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</si>
  <si>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</si>
  <si>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</si>
  <si>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</si>
  <si>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</si>
  <si>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</si>
  <si>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</si>
  <si>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</si>
  <si>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</si>
  <si>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</si>
  <si>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</si>
  <si>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</si>
  <si>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</si>
  <si>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</si>
  <si>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</si>
  <si>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</si>
  <si>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</si>
  <si>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</si>
  <si>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</si>
  <si>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</si>
  <si>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</si>
  <si>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</si>
  <si>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</si>
  <si>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</si>
  <si>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</si>
  <si>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</si>
  <si>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</si>
  <si>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</si>
  <si>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</si>
  <si>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</si>
  <si>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</si>
  <si>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</si>
  <si>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</si>
  <si>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</si>
  <si>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</si>
  <si>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</si>
  <si>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</si>
  <si>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</si>
  <si>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</si>
  <si>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</si>
  <si>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</si>
  <si>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</si>
  <si>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</si>
  <si>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</si>
  <si>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</si>
  <si>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</si>
  <si>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</si>
  <si>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</si>
  <si>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</si>
  <si>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</si>
  <si>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</si>
  <si>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</si>
  <si>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</si>
  <si>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</si>
  <si>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</si>
  <si>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</si>
  <si>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</si>
  <si>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</si>
  <si>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</si>
  <si>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</si>
  <si>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</si>
  <si>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</si>
  <si>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</si>
  <si>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</si>
  <si>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</si>
  <si>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</si>
  <si>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</si>
  <si>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</si>
  <si>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</si>
  <si>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</si>
  <si>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</si>
  <si>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</si>
  <si>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</si>
  <si>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</si>
  <si>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</si>
  <si>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</si>
  <si>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</si>
  <si>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</si>
  <si>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</si>
  <si>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</si>
  <si>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</si>
  <si>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</si>
  <si>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</si>
  <si>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</si>
  <si>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</si>
  <si>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</si>
  <si>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</si>
  <si>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</si>
  <si>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</si>
  <si>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</si>
  <si>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</si>
  <si>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</si>
  <si>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</si>
  <si>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</si>
  <si>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</si>
  <si>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</si>
  <si>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</si>
  <si>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</si>
  <si>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</si>
  <si>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</si>
  <si>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</si>
  <si>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</si>
  <si>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</si>
  <si>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</si>
  <si>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</si>
  <si>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</si>
  <si>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</si>
  <si>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</si>
  <si>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</si>
  <si>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</si>
  <si>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</si>
  <si>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</si>
  <si>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</si>
  <si>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</si>
  <si>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</si>
  <si>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</si>
  <si>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</si>
  <si>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</si>
  <si>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</si>
  <si>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</si>
  <si>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</si>
  <si>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</si>
  <si>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</si>
  <si>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</si>
  <si>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</si>
  <si>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</si>
  <si>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</si>
  <si>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</si>
  <si>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</si>
  <si>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</si>
  <si>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</si>
  <si>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</si>
  <si>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</si>
  <si>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</si>
  <si>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</si>
  <si>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</si>
  <si>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</si>
  <si>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</si>
  <si>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</si>
  <si>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</si>
  <si>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</si>
  <si>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</si>
  <si>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</si>
  <si>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</si>
  <si>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</si>
  <si>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</si>
  <si>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</si>
  <si>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</si>
  <si>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</si>
  <si>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</si>
  <si>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</si>
  <si>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</si>
  <si>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</si>
  <si>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</si>
  <si>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</si>
  <si>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</si>
  <si>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</si>
  <si>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</si>
  <si>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</si>
  <si>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</si>
  <si>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</si>
  <si>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</si>
  <si>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</si>
  <si>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</si>
  <si>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</si>
  <si>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</si>
  <si>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</si>
  <si>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</si>
  <si>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</si>
  <si>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</si>
  <si>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</si>
  <si>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</si>
  <si>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</si>
  <si>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</si>
  <si>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</si>
  <si>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</si>
  <si>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</si>
  <si>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</si>
  <si>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</si>
  <si>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</si>
  <si>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</si>
  <si>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</si>
  <si>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</si>
  <si>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</si>
  <si>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</si>
  <si>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</si>
  <si>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</si>
  <si>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</si>
  <si>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</si>
  <si>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</si>
  <si>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</si>
  <si>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</si>
  <si>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</si>
  <si>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</si>
  <si>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</si>
  <si>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</si>
  <si>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</si>
  <si>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</si>
  <si>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</si>
  <si>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</si>
  <si>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</si>
  <si>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</si>
  <si>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</si>
  <si>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</si>
  <si>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</si>
  <si>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</si>
  <si>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</si>
  <si>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</si>
  <si>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</si>
  <si>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</si>
  <si>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</si>
  <si>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</si>
  <si>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</si>
  <si>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</si>
  <si>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</si>
  <si>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</si>
  <si>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</si>
  <si>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</si>
  <si>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</si>
  <si>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</si>
  <si>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</si>
  <si>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</si>
  <si>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</si>
  <si>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</si>
  <si>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</si>
  <si>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</si>
  <si>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</si>
  <si>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</si>
  <si>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</si>
  <si>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</si>
  <si>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</si>
  <si>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</si>
  <si>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</si>
  <si>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</si>
  <si>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</si>
  <si>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</si>
  <si>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</si>
  <si>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</si>
  <si>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</si>
  <si>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</si>
  <si>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</si>
  <si>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</si>
  <si>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</si>
  <si>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</si>
  <si>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</si>
  <si>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</si>
  <si>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</si>
  <si>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</si>
  <si>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</si>
  <si>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</si>
  <si>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</si>
  <si>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</si>
  <si>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</si>
  <si>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</si>
  <si>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</si>
  <si>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</si>
  <si>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</si>
  <si>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</si>
  <si>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</si>
  <si>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</si>
  <si>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</si>
  <si>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</si>
  <si>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</si>
  <si>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</si>
  <si>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</si>
  <si>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</si>
  <si>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</si>
  <si>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</si>
  <si>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</si>
  <si>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</si>
  <si>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</si>
  <si>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</si>
  <si>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</si>
  <si>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</si>
  <si>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</si>
  <si>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</si>
  <si>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</si>
  <si>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</si>
  <si>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</si>
  <si>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</si>
  <si>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</si>
  <si>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</si>
  <si>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</si>
  <si>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</si>
  <si>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</si>
  <si>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</si>
  <si>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</si>
  <si>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</si>
  <si>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</si>
  <si>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</si>
  <si>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</si>
  <si>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</si>
  <si>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</si>
  <si>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</si>
  <si>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</si>
  <si>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</si>
  <si>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</si>
  <si>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</si>
  <si>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</si>
  <si>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</si>
  <si>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</si>
  <si>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</si>
  <si>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</si>
  <si>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</si>
  <si>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</si>
  <si>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</si>
  <si>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</si>
  <si>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</si>
  <si>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</si>
  <si>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</si>
  <si>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</si>
  <si>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</si>
  <si>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</si>
  <si>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</si>
  <si>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</si>
  <si>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</si>
  <si>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</si>
  <si>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</si>
  <si>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</si>
  <si>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</si>
  <si>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</si>
  <si>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</si>
  <si>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</si>
  <si>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</si>
  <si>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</si>
  <si>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</si>
  <si>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</si>
  <si>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</si>
  <si>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</si>
  <si>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</si>
  <si>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</si>
  <si>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</si>
  <si>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</si>
  <si>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</si>
  <si>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</si>
  <si>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</si>
  <si>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</si>
  <si>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</si>
  <si>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</si>
  <si>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</si>
  <si>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</si>
  <si>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</si>
  <si>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</si>
  <si>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</si>
  <si>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</si>
  <si>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</si>
  <si>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</si>
  <si>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</si>
  <si>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</si>
  <si>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</si>
  <si>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</si>
  <si>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</si>
  <si>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</si>
  <si>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</si>
  <si>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</si>
  <si>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</si>
  <si>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</si>
  <si>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</si>
  <si>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</si>
  <si>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</si>
  <si>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</si>
  <si>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</si>
  <si>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</si>
  <si>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</si>
  <si>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</si>
  <si>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</si>
  <si>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</si>
  <si>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</si>
  <si>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</si>
  <si>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</si>
  <si>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</si>
  <si>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</si>
  <si>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</si>
  <si>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</si>
  <si>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</si>
  <si>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</si>
  <si>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</si>
  <si>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</si>
  <si>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</si>
  <si>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</si>
  <si>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</si>
  <si>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</si>
  <si>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</si>
  <si>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</si>
  <si>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</si>
  <si>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</si>
  <si>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</si>
  <si>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</si>
  <si>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</si>
  <si>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</si>
  <si>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</si>
  <si>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</si>
  <si>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</si>
  <si>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</si>
  <si>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</si>
  <si>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</si>
  <si>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</si>
  <si>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</si>
  <si>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</si>
  <si>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</si>
  <si>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</si>
  <si>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</si>
  <si>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</si>
  <si>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</si>
  <si>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</si>
  <si>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</si>
  <si>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</si>
  <si>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</si>
  <si>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</si>
  <si>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</si>
  <si>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</si>
  <si>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</si>
  <si>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</si>
  <si>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</si>
  <si>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</si>
  <si>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</si>
  <si>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</si>
  <si>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</si>
  <si>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</si>
  <si>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</si>
  <si>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</si>
  <si>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</si>
  <si>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</si>
  <si>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</si>
  <si>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</si>
  <si>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</si>
  <si>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</si>
  <si>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</si>
  <si>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</si>
  <si>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</si>
  <si>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</si>
  <si>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</si>
  <si>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</si>
  <si>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</si>
  <si>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</si>
  <si>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</si>
  <si>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</si>
  <si>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</si>
  <si>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</si>
  <si>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</si>
  <si>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</si>
  <si>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</si>
  <si>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</si>
  <si>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</si>
  <si>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</si>
  <si>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</si>
  <si>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</si>
  <si>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</si>
  <si>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</si>
  <si>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</si>
  <si>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</si>
  <si>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</si>
  <si>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</si>
  <si>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</si>
  <si>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</si>
  <si>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</si>
  <si>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</si>
  <si>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</si>
  <si>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</si>
  <si>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</si>
  <si>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</si>
  <si>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</si>
  <si>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</si>
  <si>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</si>
  <si>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</si>
  <si>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</si>
  <si>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</si>
  <si>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</si>
  <si>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</si>
  <si>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</si>
  <si>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</si>
  <si>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</si>
  <si>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</si>
  <si>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</si>
  <si>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</si>
  <si>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</si>
  <si>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</si>
  <si>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</si>
  <si>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</si>
  <si>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</si>
  <si>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</si>
  <si>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</si>
  <si>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</si>
  <si>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</si>
  <si>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</si>
  <si>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</si>
  <si>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</si>
  <si>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</si>
  <si>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</si>
  <si>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</si>
  <si>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</si>
  <si>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</si>
  <si>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</si>
  <si>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</si>
  <si>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</si>
  <si>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</si>
  <si>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</si>
  <si>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</si>
  <si>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</si>
  <si>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</si>
  <si>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</si>
  <si>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</si>
  <si>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</si>
  <si>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</si>
  <si>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</si>
  <si>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</si>
  <si>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</si>
  <si>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</si>
  <si>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</si>
  <si>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</si>
  <si>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</si>
  <si>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</si>
  <si>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</si>
  <si>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</si>
  <si>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</si>
  <si>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</si>
  <si>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</si>
  <si>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</si>
  <si>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</si>
  <si>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</si>
  <si>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</si>
  <si>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</si>
  <si>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</si>
  <si>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</si>
  <si>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</si>
  <si>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</si>
  <si>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</si>
  <si>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</si>
  <si>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</si>
  <si>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</si>
  <si>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</si>
  <si>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</si>
  <si>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</si>
  <si>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</si>
  <si>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</si>
  <si>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</si>
  <si>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</si>
  <si>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</si>
  <si>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</si>
  <si>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</si>
  <si>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</si>
  <si>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</si>
  <si>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</si>
  <si>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</si>
  <si>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</si>
  <si>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</si>
  <si>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</si>
  <si>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</si>
  <si>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</si>
  <si>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</si>
  <si>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</si>
  <si>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</si>
  <si>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</si>
  <si>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</si>
  <si>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</si>
  <si>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</si>
  <si>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</si>
  <si>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</si>
  <si>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</si>
  <si>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</si>
  <si>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</si>
  <si>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</si>
  <si>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</si>
  <si>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</si>
  <si>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</si>
  <si>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</si>
  <si>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</si>
  <si>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</si>
  <si>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</si>
  <si>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</si>
  <si>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</si>
  <si>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</si>
  <si>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</si>
  <si>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</si>
  <si>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</si>
  <si>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</si>
  <si>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</si>
  <si>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</si>
  <si>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</si>
  <si>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</si>
  <si>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</si>
  <si>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</si>
  <si>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</si>
  <si>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</si>
  <si>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</si>
  <si>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</si>
  <si>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</si>
  <si>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</si>
  <si>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</si>
  <si>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</si>
  <si>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</si>
  <si>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</si>
  <si>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</si>
  <si>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</si>
  <si>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</si>
  <si>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</si>
  <si>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</si>
  <si>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</si>
  <si>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</si>
  <si>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</si>
  <si>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</si>
  <si>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</si>
  <si>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</si>
  <si>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</si>
  <si>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</si>
  <si>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</si>
  <si>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</si>
  <si>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</si>
  <si>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</si>
  <si>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</si>
  <si>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</si>
  <si>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</si>
  <si>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</si>
  <si>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</si>
  <si>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</si>
  <si>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</si>
  <si>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</si>
  <si>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</si>
  <si>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</si>
  <si>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</si>
  <si>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</si>
  <si>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</si>
  <si>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</si>
  <si>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</si>
  <si>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</si>
  <si>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</si>
  <si>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</si>
  <si>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</si>
  <si>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</si>
  <si>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</si>
  <si>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</si>
  <si>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</si>
  <si>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</si>
  <si>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</si>
  <si>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</si>
  <si>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</si>
  <si>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</si>
  <si>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</si>
  <si>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</si>
  <si>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</si>
  <si>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</si>
  <si>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</si>
  <si>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</si>
  <si>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</si>
  <si>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</si>
  <si>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</si>
  <si>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</si>
  <si>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</si>
  <si>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</si>
  <si>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</si>
  <si>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</si>
  <si>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</si>
  <si>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</si>
  <si>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</si>
  <si>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</si>
  <si>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</si>
  <si>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</si>
  <si>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</si>
  <si>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</si>
  <si>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</si>
  <si>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</si>
  <si>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</si>
  <si>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</si>
  <si>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</si>
  <si>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</si>
  <si>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</si>
  <si>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</si>
  <si>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</si>
  <si>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</si>
  <si>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</si>
  <si>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</si>
  <si>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</si>
  <si>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</si>
  <si>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</si>
  <si>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</si>
  <si>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</si>
  <si>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</si>
  <si>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</si>
  <si>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</si>
  <si>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</si>
  <si>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</si>
  <si>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</si>
  <si>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</si>
  <si>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</si>
  <si>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</si>
  <si>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</si>
  <si>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</si>
  <si>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</si>
  <si>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</si>
  <si>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</si>
  <si>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</si>
  <si>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</si>
  <si>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</si>
  <si>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</si>
  <si>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</si>
  <si>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</si>
  <si>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</si>
  <si>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</si>
  <si>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</si>
  <si>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</si>
  <si>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</si>
  <si>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</si>
  <si>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</si>
  <si>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</si>
  <si>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</si>
  <si>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</si>
  <si>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</si>
  <si>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</si>
  <si>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</si>
  <si>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</si>
  <si>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</si>
  <si>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</si>
  <si>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</si>
  <si>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</si>
  <si>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</si>
  <si>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</si>
  <si>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</si>
  <si>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</si>
  <si>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</si>
  <si>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</si>
  <si>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</si>
  <si>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</si>
  <si>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</si>
  <si>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</si>
  <si>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</si>
  <si>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</si>
  <si>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</si>
  <si>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</si>
  <si>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</si>
  <si>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</si>
  <si>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</si>
  <si>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</si>
  <si>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</si>
  <si>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</si>
  <si>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</si>
  <si>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</si>
  <si>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</si>
  <si>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</si>
  <si>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</si>
  <si>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</si>
  <si>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</si>
  <si>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</si>
  <si>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</si>
  <si>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</si>
  <si>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</si>
  <si>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</si>
  <si>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</si>
  <si>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</si>
  <si>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</si>
  <si>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</si>
  <si>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</si>
  <si>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</si>
  <si>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</si>
  <si>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</si>
  <si>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</si>
  <si>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</si>
  <si>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</si>
  <si>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</si>
  <si>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</si>
  <si>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</si>
  <si>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</si>
  <si>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</si>
  <si>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</si>
  <si>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</si>
  <si>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</si>
  <si>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</si>
  <si>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</si>
  <si>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</si>
  <si>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</si>
  <si>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</si>
  <si>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</si>
  <si>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</si>
  <si>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</si>
  <si>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</si>
  <si>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</si>
  <si>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</si>
  <si>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</si>
  <si>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</si>
  <si>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</si>
  <si>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</si>
  <si>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</si>
  <si>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</si>
  <si>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</si>
  <si>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</si>
  <si>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</si>
  <si>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</si>
  <si>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</si>
  <si>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</si>
  <si>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</si>
  <si>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</si>
  <si>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</si>
  <si>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</si>
  <si>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</si>
  <si>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</si>
  <si>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</si>
  <si>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</si>
  <si>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</si>
  <si>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</si>
  <si>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</si>
  <si>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</si>
  <si>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</si>
  <si>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</si>
  <si>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</si>
  <si>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</si>
  <si>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</si>
  <si>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</si>
  <si>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</si>
  <si>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</si>
  <si>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</si>
  <si>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</si>
  <si>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</si>
  <si>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</si>
  <si>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</si>
  <si>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</si>
  <si>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</si>
  <si>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</si>
  <si>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</si>
  <si>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</si>
  <si>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</si>
  <si>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</si>
  <si>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</si>
  <si>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</si>
  <si>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</si>
  <si>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</si>
  <si>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</si>
  <si>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</si>
  <si>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</si>
  <si>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</si>
  <si>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</si>
  <si>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</si>
  <si>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</si>
  <si>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</si>
  <si>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</si>
  <si>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</si>
  <si>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</si>
  <si>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</si>
  <si>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</si>
  <si>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</si>
  <si>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</si>
  <si>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</si>
  <si>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</si>
  <si>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</si>
  <si>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</si>
  <si>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</si>
  <si>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</si>
  <si>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</si>
  <si>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</si>
  <si>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</si>
  <si>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</si>
  <si>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</si>
  <si>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</si>
  <si>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</si>
  <si>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</si>
  <si>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</si>
  <si>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</si>
  <si>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</si>
  <si>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</si>
  <si>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</si>
  <si>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</si>
  <si>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</si>
  <si>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</si>
  <si>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</si>
  <si>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</si>
  <si>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</si>
  <si>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</si>
  <si>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</si>
  <si>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</si>
  <si>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</si>
  <si>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</si>
  <si>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</si>
  <si>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</si>
  <si>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</si>
  <si>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</si>
  <si>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</si>
  <si>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</si>
  <si>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</si>
  <si>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</si>
  <si>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</si>
  <si>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</si>
  <si>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</si>
  <si>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</si>
  <si>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</si>
  <si>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</si>
  <si>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</si>
  <si>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</si>
  <si>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</si>
  <si>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</si>
  <si>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</si>
  <si>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</si>
  <si>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</si>
  <si>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</si>
  <si>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</si>
  <si>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</si>
  <si>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</si>
  <si>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</si>
  <si>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</si>
  <si>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</si>
  <si>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</si>
  <si>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</si>
  <si>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</si>
  <si>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</si>
  <si>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</si>
  <si>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</si>
  <si>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</si>
  <si>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</si>
  <si>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</si>
  <si>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</si>
  <si>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</si>
  <si>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</si>
  <si>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</si>
  <si>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</si>
  <si>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</si>
  <si>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</si>
  <si>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</si>
  <si>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</si>
  <si>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</si>
  <si>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</si>
  <si>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</si>
  <si>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</si>
  <si>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</si>
  <si>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</si>
  <si>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</si>
  <si>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</si>
  <si>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</si>
  <si>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</si>
  <si>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</si>
  <si>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</si>
  <si>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</si>
  <si>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</si>
  <si>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</si>
  <si>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</si>
  <si>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</si>
  <si>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</si>
  <si>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</si>
  <si>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</si>
  <si>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</si>
  <si>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</si>
  <si>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</si>
  <si>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</si>
  <si>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</si>
  <si>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</si>
  <si>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</si>
  <si>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</si>
  <si>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</si>
  <si>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</si>
  <si>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</si>
  <si>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</si>
  <si>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</si>
  <si>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</si>
  <si>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</si>
  <si>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</si>
  <si>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</si>
  <si>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</si>
  <si>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</si>
  <si>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</si>
  <si>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</si>
  <si>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</si>
  <si>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</si>
  <si>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</si>
  <si>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</si>
  <si>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</si>
  <si>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</si>
  <si>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</si>
  <si>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</si>
  <si>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</si>
  <si>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</si>
  <si>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</si>
  <si>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</si>
  <si>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</si>
  <si>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</si>
  <si>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</si>
  <si>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</si>
  <si>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</si>
  <si>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</si>
  <si>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</si>
  <si>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</si>
  <si>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</si>
  <si>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</si>
  <si>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</si>
  <si>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</si>
  <si>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</si>
  <si>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</si>
  <si>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</si>
  <si>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</si>
  <si>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</si>
  <si>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</si>
  <si>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</si>
  <si>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</si>
  <si>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</si>
  <si>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</si>
  <si>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</si>
  <si>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</si>
  <si>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</si>
  <si>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</si>
  <si>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</si>
  <si>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</si>
  <si>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</si>
  <si>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</si>
  <si>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</si>
  <si>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</si>
  <si>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</si>
  <si>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</si>
  <si>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</si>
  <si>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</si>
  <si>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</si>
  <si>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</si>
  <si>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</si>
  <si>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</si>
  <si>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</si>
  <si>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</si>
  <si>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</si>
  <si>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</si>
  <si>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</si>
  <si>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</si>
  <si>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</si>
  <si>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</si>
  <si>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</si>
  <si>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</si>
  <si>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</si>
  <si>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</si>
  <si>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</si>
  <si>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</si>
  <si>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</si>
  <si>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</si>
  <si>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</si>
  <si>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</si>
  <si>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</si>
  <si>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</si>
  <si>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</si>
  <si>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</si>
  <si>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</si>
  <si>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</si>
  <si>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</si>
  <si>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</si>
  <si>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</si>
  <si>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</si>
  <si>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</si>
  <si>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</si>
  <si>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</si>
  <si>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</si>
  <si>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</si>
  <si>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</si>
  <si>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</si>
  <si>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</si>
  <si>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</si>
  <si>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</si>
  <si>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</si>
  <si>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</si>
  <si>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</si>
  <si>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</si>
  <si>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</si>
  <si>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</si>
  <si>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</si>
  <si>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</si>
  <si>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</si>
  <si>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</si>
  <si>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</si>
  <si>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</si>
  <si>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</si>
  <si>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</si>
  <si>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</si>
  <si>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</si>
  <si>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</si>
  <si>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</si>
  <si>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</si>
  <si>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</si>
  <si>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</si>
  <si>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</si>
  <si>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</si>
  <si>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</si>
  <si>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</si>
  <si>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</si>
  <si>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</si>
  <si>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</si>
  <si>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</si>
  <si>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</si>
  <si>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</si>
  <si>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</si>
  <si>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</si>
  <si>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</si>
  <si>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</si>
  <si>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</si>
  <si>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</si>
  <si>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</si>
  <si>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</si>
  <si>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</si>
  <si>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</si>
  <si>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</si>
  <si>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</si>
  <si>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</si>
  <si>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</si>
  <si>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</si>
  <si>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</si>
  <si>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</si>
  <si>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</si>
  <si>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</si>
  <si>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</si>
  <si>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</si>
  <si>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</si>
  <si>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</si>
  <si>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</si>
  <si>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</si>
  <si>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</si>
  <si>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</si>
  <si>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</si>
  <si>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</si>
  <si>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</si>
  <si>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</si>
  <si>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</si>
  <si>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</si>
  <si>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</si>
  <si>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</si>
  <si>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</si>
  <si>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</si>
  <si>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</si>
  <si>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</si>
  <si>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</si>
  <si>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</si>
  <si>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</si>
  <si>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</si>
  <si>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</si>
  <si>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</si>
  <si>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</si>
  <si>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</si>
  <si>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</si>
  <si>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</si>
  <si>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</si>
  <si>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</si>
  <si>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</si>
  <si>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</si>
  <si>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</si>
  <si>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</si>
  <si>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</si>
  <si>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</si>
  <si>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</si>
  <si>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</si>
  <si>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</si>
  <si>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</si>
  <si>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</si>
  <si>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</si>
  <si>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</si>
  <si>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</si>
  <si>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</si>
  <si>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</si>
  <si>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</si>
  <si>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</si>
  <si>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</si>
  <si>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</si>
  <si>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</si>
  <si>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</si>
  <si>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</si>
  <si>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</si>
  <si>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</si>
  <si>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</si>
  <si>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</si>
  <si>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</si>
  <si>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</si>
  <si>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</si>
  <si>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</si>
  <si>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</si>
  <si>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</si>
  <si>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</si>
  <si>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</si>
  <si>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</si>
  <si>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</si>
  <si>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</si>
  <si>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</si>
  <si>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</si>
  <si>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</si>
  <si>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</si>
  <si>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</si>
  <si>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</si>
  <si>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</si>
  <si>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</si>
  <si>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</si>
  <si>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</si>
  <si>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</si>
  <si>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</si>
  <si>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</si>
  <si>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</si>
  <si>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</si>
  <si>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</si>
  <si>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</si>
  <si>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</si>
  <si>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</si>
  <si>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</si>
  <si>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</si>
  <si>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</si>
  <si>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</si>
  <si>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</si>
  <si>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</si>
  <si>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</si>
  <si>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</si>
  <si>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</si>
  <si>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</si>
  <si>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</si>
  <si>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</si>
  <si>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</si>
  <si>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</si>
  <si>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</si>
  <si>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</si>
  <si>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</si>
  <si>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</si>
  <si>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</si>
  <si>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</si>
  <si>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</si>
  <si>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</si>
  <si>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</si>
  <si>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</si>
  <si>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</si>
  <si>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</si>
  <si>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</si>
  <si>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</si>
  <si>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</si>
  <si>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</si>
  <si>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</si>
  <si>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</si>
  <si>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</si>
  <si>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</si>
  <si>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</si>
  <si>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</si>
  <si>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</si>
  <si>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</si>
  <si>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</si>
  <si>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</si>
  <si>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</si>
  <si>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</si>
  <si>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</si>
  <si>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</si>
  <si>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</si>
  <si>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</si>
  <si>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</si>
  <si>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</si>
  <si>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</si>
  <si>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</si>
  <si>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</si>
  <si>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</si>
  <si>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</si>
  <si>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</si>
  <si>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</si>
  <si>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</si>
  <si>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</si>
  <si>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</si>
  <si>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</si>
  <si>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</si>
  <si>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</si>
  <si>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</si>
  <si>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</si>
  <si>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</si>
  <si>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</si>
  <si>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</si>
  <si>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</si>
  <si>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</si>
  <si>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</si>
  <si>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</si>
  <si>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</si>
  <si>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</si>
  <si>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</si>
  <si>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</si>
  <si>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</si>
  <si>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</si>
  <si>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</si>
  <si>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</si>
  <si>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</si>
  <si>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</si>
  <si>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</si>
  <si>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</si>
  <si>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</si>
  <si>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</si>
  <si>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</si>
  <si>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</si>
  <si>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</si>
  <si>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</si>
  <si>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</si>
  <si>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</si>
  <si>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</si>
  <si>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</si>
  <si>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</si>
  <si>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</si>
  <si>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</si>
  <si>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</si>
  <si>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</si>
  <si>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</si>
  <si>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</si>
  <si>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</si>
  <si>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</si>
  <si>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</si>
  <si>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</si>
  <si>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</si>
  <si>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</si>
  <si>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</si>
  <si>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</si>
  <si>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</si>
  <si>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</si>
  <si>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</si>
  <si>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</si>
  <si>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</si>
  <si>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</si>
  <si>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</si>
  <si>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</si>
  <si>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</si>
  <si>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</si>
  <si>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</si>
  <si>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</si>
  <si>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</si>
  <si>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</si>
  <si>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</si>
  <si>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</si>
  <si>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</si>
  <si>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</si>
  <si>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</si>
  <si>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</si>
  <si>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</si>
  <si>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</si>
  <si>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</si>
  <si>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</si>
  <si>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</si>
  <si>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</si>
  <si>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</si>
  <si>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</si>
  <si>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</si>
  <si>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</si>
  <si>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</si>
  <si>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</si>
  <si>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</si>
  <si>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</si>
  <si>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</si>
  <si>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</si>
  <si>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</si>
  <si>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</si>
  <si>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</si>
  <si>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</si>
  <si>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</si>
  <si>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</si>
  <si>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</si>
  <si>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</si>
  <si>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</si>
  <si>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</si>
  <si>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</si>
  <si>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</si>
  <si>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</si>
  <si>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</si>
  <si>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</si>
  <si>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</si>
  <si>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</si>
  <si>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</si>
  <si>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</si>
  <si>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</si>
  <si>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</si>
  <si>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</si>
  <si>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</si>
  <si>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</si>
  <si>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</si>
  <si>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</si>
  <si>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</si>
  <si>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</si>
  <si>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</si>
  <si>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</si>
  <si>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</si>
  <si>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</si>
  <si>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</si>
  <si>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</si>
  <si>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</si>
  <si>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</si>
  <si>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</si>
  <si>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</si>
  <si>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</si>
  <si>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</si>
  <si>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</si>
  <si>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</si>
  <si>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</si>
  <si>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</si>
  <si>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</si>
  <si>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</si>
  <si>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</si>
  <si>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</si>
  <si>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</si>
  <si>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</si>
  <si>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</si>
  <si>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</si>
  <si>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</si>
  <si>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</si>
  <si>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</si>
  <si>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</si>
  <si>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</si>
  <si>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</si>
  <si>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</si>
  <si>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</si>
  <si>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</si>
  <si>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</si>
  <si>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</si>
  <si>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</si>
  <si>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</si>
  <si>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</si>
  <si>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</si>
  <si>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</si>
  <si>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</si>
  <si>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</si>
  <si>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</si>
  <si>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</si>
  <si>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</si>
  <si>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</si>
  <si>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</si>
  <si>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</si>
  <si>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</si>
  <si>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</si>
  <si>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</si>
  <si>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</si>
  <si>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</si>
  <si>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</si>
  <si>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</si>
  <si>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</si>
  <si>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</si>
  <si>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</si>
  <si>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</si>
  <si>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</si>
  <si>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</si>
  <si>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</si>
  <si>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</si>
  <si>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</si>
  <si>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</si>
  <si>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</si>
  <si>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</si>
  <si>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</si>
  <si>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</si>
  <si>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</si>
  <si>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</si>
  <si>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</si>
  <si>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</si>
  <si>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</si>
  <si>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</si>
  <si>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</si>
  <si>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</si>
  <si>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</si>
  <si>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</si>
  <si>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</si>
  <si>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</si>
  <si>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</si>
  <si>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</si>
  <si>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</si>
  <si>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</si>
  <si>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</si>
  <si>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</si>
  <si>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</si>
  <si>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</si>
  <si>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</si>
  <si>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</si>
  <si>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</si>
  <si>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</si>
  <si>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</si>
  <si>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</si>
  <si>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</si>
  <si>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</si>
  <si>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</si>
  <si>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</si>
  <si>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</si>
  <si>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</si>
  <si>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</si>
  <si>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</si>
  <si>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</si>
  <si>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</si>
  <si>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</si>
  <si>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</si>
  <si>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</si>
  <si>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</si>
  <si>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</si>
  <si>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</si>
  <si>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</si>
  <si>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</si>
  <si>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</si>
  <si>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</si>
  <si>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</si>
  <si>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</si>
  <si>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</si>
  <si>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</si>
  <si>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</si>
  <si>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</si>
  <si>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</si>
  <si>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</si>
  <si>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</si>
  <si>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</si>
  <si>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</si>
  <si>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</si>
  <si>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</si>
  <si>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</si>
  <si>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</si>
  <si>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</si>
  <si>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</si>
  <si>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</si>
  <si>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</si>
  <si>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</si>
  <si>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</si>
  <si>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</si>
  <si>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</si>
  <si>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</si>
  <si>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</si>
  <si>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</si>
  <si>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</si>
  <si>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</si>
  <si>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</si>
  <si>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</si>
  <si>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</si>
  <si>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</si>
  <si>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</si>
  <si>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</si>
  <si>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</si>
  <si>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</si>
  <si>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</si>
  <si>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</si>
  <si>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</si>
  <si>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</si>
  <si>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</si>
  <si>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</si>
  <si>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</si>
  <si>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</si>
  <si>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</si>
  <si>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</si>
  <si>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</si>
  <si>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</si>
  <si>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</si>
  <si>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</si>
  <si>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</si>
  <si>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</si>
  <si>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</si>
  <si>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</si>
  <si>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</si>
  <si>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</si>
  <si>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</si>
  <si>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</si>
  <si>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</si>
  <si>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</si>
  <si>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</si>
  <si>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</si>
  <si>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</si>
  <si>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</si>
  <si>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</si>
  <si>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</si>
  <si>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</si>
  <si>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</si>
  <si>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</si>
  <si>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</si>
  <si>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</si>
  <si>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</si>
  <si>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</si>
  <si>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</si>
  <si>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</si>
  <si>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</si>
  <si>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</si>
  <si>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</si>
  <si>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</si>
  <si>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</si>
  <si>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</si>
  <si>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</si>
  <si>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</si>
  <si>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</si>
  <si>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</si>
  <si>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</si>
  <si>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</si>
  <si>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</si>
  <si>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</si>
  <si>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</si>
  <si>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</si>
  <si>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</si>
  <si>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</si>
  <si>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</si>
  <si>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</si>
  <si>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</si>
  <si>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</si>
  <si>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</si>
  <si>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</si>
  <si>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</si>
  <si>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</si>
  <si>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</si>
  <si>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</si>
  <si>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</si>
  <si>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</si>
  <si>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</si>
  <si>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</si>
  <si>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</si>
  <si>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</si>
  <si>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</si>
  <si>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</si>
  <si>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</si>
  <si>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</si>
  <si>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</si>
  <si>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</si>
  <si>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</si>
  <si>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</si>
  <si>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</si>
  <si>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</si>
  <si>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</si>
  <si>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</si>
  <si>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</si>
  <si>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</si>
  <si>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</si>
  <si>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</si>
  <si>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</si>
  <si>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</si>
  <si>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</si>
  <si>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</si>
  <si>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</si>
  <si>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</si>
  <si>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</si>
  <si>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</si>
  <si>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</si>
  <si>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</si>
  <si>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</si>
  <si>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</si>
  <si>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</si>
  <si>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</si>
  <si>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</si>
  <si>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</si>
  <si>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</si>
  <si>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</si>
  <si>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</si>
  <si>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</si>
  <si>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</si>
  <si>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</si>
  <si>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</si>
  <si>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</si>
  <si>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</si>
  <si>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</si>
  <si>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</si>
  <si>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</si>
  <si>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</si>
  <si>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</si>
  <si>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</si>
  <si>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</si>
  <si>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</si>
  <si>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</si>
  <si>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</si>
  <si>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</si>
  <si>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</si>
  <si>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</si>
  <si>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</si>
  <si>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</si>
  <si>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</si>
  <si>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</si>
  <si>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</si>
  <si>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</si>
  <si>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</si>
  <si>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</si>
  <si>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</si>
  <si>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</si>
  <si>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</si>
  <si>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</si>
  <si>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</si>
  <si>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</si>
  <si>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</si>
  <si>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</si>
  <si>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</si>
  <si>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</si>
  <si>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</si>
  <si>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</si>
  <si>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</si>
  <si>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</si>
  <si>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</si>
  <si>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</si>
  <si>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</si>
  <si>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</si>
  <si>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</si>
  <si>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</si>
  <si>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</si>
  <si>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</si>
  <si>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</si>
  <si>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</si>
  <si>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</si>
  <si>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</si>
  <si>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</si>
  <si>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</si>
  <si>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</si>
  <si>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</si>
  <si>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</si>
  <si>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</si>
  <si>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</si>
  <si>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</si>
  <si>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</si>
  <si>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</si>
  <si>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</si>
  <si>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</si>
  <si>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</si>
  <si>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</si>
  <si>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</si>
  <si>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</si>
  <si>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</si>
  <si>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</si>
  <si>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</si>
  <si>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</si>
  <si>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</si>
  <si>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</si>
  <si>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</si>
  <si>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</si>
  <si>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</si>
  <si>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</si>
  <si>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</si>
  <si>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</si>
  <si>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</si>
  <si>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</si>
  <si>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</si>
  <si>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</si>
  <si>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</si>
  <si>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</si>
  <si>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</si>
  <si>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</si>
  <si>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</si>
  <si>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</si>
  <si>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</si>
  <si>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</si>
  <si>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</si>
  <si>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</si>
  <si>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</si>
  <si>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</si>
  <si>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</si>
  <si>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</si>
  <si>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</si>
  <si>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</si>
  <si>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</si>
  <si>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</si>
  <si>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</si>
  <si>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</si>
  <si>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</si>
  <si>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</si>
  <si>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</si>
  <si>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</si>
  <si>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</si>
  <si>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</si>
  <si>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</si>
  <si>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</si>
  <si>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</si>
  <si>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</si>
  <si>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</si>
  <si>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</si>
  <si>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</si>
  <si>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</si>
  <si>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</si>
  <si>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</si>
  <si>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</si>
  <si>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</si>
  <si>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</si>
  <si>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</si>
  <si>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</si>
  <si>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</si>
  <si>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</si>
  <si>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</si>
  <si>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</si>
  <si>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</si>
  <si>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</si>
  <si>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</si>
  <si>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</si>
  <si>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</si>
  <si>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</si>
  <si>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</si>
  <si>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</si>
  <si>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</si>
  <si>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</si>
  <si>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</si>
  <si>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</si>
  <si>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</si>
  <si>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</si>
  <si>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</si>
  <si>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</si>
  <si>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</si>
  <si>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</si>
  <si>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</si>
  <si>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</si>
  <si>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</si>
  <si>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</si>
  <si>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</si>
  <si>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</si>
  <si>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</si>
  <si>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</si>
  <si>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</si>
  <si>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</si>
  <si>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</si>
  <si>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</si>
  <si>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</si>
  <si>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</si>
  <si>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</si>
  <si>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</si>
  <si>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</si>
  <si>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</si>
  <si>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</si>
  <si>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</si>
  <si>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</si>
  <si>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</si>
  <si>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</si>
  <si>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</si>
  <si>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</si>
  <si>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</si>
  <si>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</si>
  <si>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</si>
  <si>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</si>
  <si>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</si>
  <si>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</si>
  <si>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</si>
  <si>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</si>
  <si>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</si>
  <si>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</si>
  <si>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</si>
  <si>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</si>
  <si>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</si>
  <si>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</si>
  <si>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</si>
  <si>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</si>
  <si>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</si>
  <si>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</si>
  <si>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</si>
  <si>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</si>
  <si>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</si>
  <si>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</si>
  <si>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</si>
  <si>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</si>
  <si>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</si>
  <si>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</si>
  <si>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</si>
  <si>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</si>
  <si>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</si>
  <si>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</si>
  <si>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</si>
  <si>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</si>
  <si>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</si>
  <si>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</si>
  <si>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</si>
  <si>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</si>
  <si>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</si>
  <si>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</si>
  <si>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</si>
  <si>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</si>
  <si>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</si>
  <si>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</si>
  <si>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</si>
  <si>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</si>
  <si>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</si>
  <si>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</si>
  <si>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</si>
  <si>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</si>
  <si>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</si>
  <si>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</si>
  <si>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</si>
  <si>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</si>
  <si>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</si>
  <si>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</si>
  <si>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</si>
  <si>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</si>
  <si>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</si>
  <si>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</si>
  <si>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</si>
  <si>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</si>
  <si>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</si>
  <si>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</si>
  <si>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</si>
  <si>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</si>
  <si>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</si>
  <si>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</si>
  <si>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</si>
  <si>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</si>
  <si>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</si>
  <si>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</si>
  <si>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</si>
  <si>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</si>
  <si>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</si>
  <si>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</si>
  <si>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</si>
  <si>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</si>
  <si>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</si>
  <si>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</si>
  <si>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</si>
  <si>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</si>
  <si>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</si>
  <si>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</si>
  <si>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</si>
  <si>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</si>
  <si>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</si>
  <si>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</si>
  <si>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</si>
  <si>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</si>
  <si>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</si>
  <si>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</si>
  <si>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</si>
  <si>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</si>
  <si>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</si>
  <si>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</si>
  <si>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</si>
  <si>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</si>
  <si>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</si>
  <si>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</si>
  <si>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</si>
  <si>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</si>
  <si>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</si>
  <si>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与级别开发程度一致</t>
  </si>
  <si>
    <t>北京市</t>
  </si>
  <si>
    <t>核定资产</t>
  </si>
  <si>
    <t>房地产市场价值</t>
  </si>
  <si>
    <t>自然人</t>
  </si>
  <si>
    <t>元</t>
  </si>
  <si>
    <t>楼面单价</t>
  </si>
  <si>
    <r>
      <rPr>
        <sz val="10"/>
        <color indexed="8"/>
        <rFont val="宋体"/>
        <family val="3"/>
        <charset val="134"/>
      </rPr>
      <t>昌平区征收城市基础设施建设费暂行办法
昌政发〔</t>
    </r>
    <r>
      <rPr>
        <sz val="10"/>
        <color indexed="8"/>
        <rFont val="Arial"/>
        <family val="2"/>
      </rPr>
      <t>2004</t>
    </r>
    <r>
      <rPr>
        <sz val="10"/>
        <color indexed="8"/>
        <rFont val="宋体"/>
        <family val="3"/>
        <charset val="134"/>
      </rPr>
      <t>〕</t>
    </r>
    <r>
      <rPr>
        <sz val="10"/>
        <color indexed="8"/>
        <rFont val="Arial"/>
        <family val="2"/>
      </rPr>
      <t>22</t>
    </r>
    <r>
      <rPr>
        <sz val="10"/>
        <color indexed="8"/>
        <rFont val="宋体"/>
        <family val="3"/>
        <charset val="134"/>
      </rPr>
      <t xml:space="preserve">号
</t>
    </r>
    <phoneticPr fontId="4"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</si>
  <si>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</si>
  <si>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</si>
  <si>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</si>
  <si>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</si>
  <si>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</si>
  <si>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</si>
  <si>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</si>
  <si>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</si>
  <si>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</si>
  <si>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</si>
  <si>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</si>
  <si>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</si>
  <si>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</si>
  <si>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</si>
  <si>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</si>
  <si>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</si>
  <si>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权重</t>
    <phoneticPr fontId="4" type="noConversion"/>
  </si>
  <si>
    <t>经济适用住房</t>
  </si>
  <si>
    <t>协议号</t>
  </si>
  <si>
    <t>委托方</t>
  </si>
  <si>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</si>
  <si>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</si>
  <si>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</si>
  <si>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</si>
  <si>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</si>
  <si>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</si>
  <si>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</si>
  <si>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</si>
  <si>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</si>
  <si>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</si>
  <si>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</si>
  <si>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</si>
  <si>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</si>
  <si>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</si>
  <si>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</si>
  <si>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</si>
  <si>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</si>
  <si>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住宅</t>
    <phoneticPr fontId="20" type="noConversion"/>
  </si>
  <si>
    <t>60-70（含）</t>
  </si>
  <si>
    <t>七通</t>
  </si>
  <si>
    <t>七通</t>
    <phoneticPr fontId="20" type="noConversion"/>
  </si>
  <si>
    <t>已包含在土地购买价格中</t>
  </si>
  <si>
    <t>已包含在土地取得成本中</t>
  </si>
  <si>
    <t>南北</t>
  </si>
  <si>
    <t>楼层</t>
    <phoneticPr fontId="20" type="noConversion"/>
  </si>
  <si>
    <t>混合</t>
  </si>
  <si>
    <t>普通装修</t>
  </si>
  <si>
    <t>普通装修</t>
    <phoneticPr fontId="20" type="noConversion"/>
  </si>
  <si>
    <t>七通</t>
    <phoneticPr fontId="20" type="noConversion"/>
  </si>
  <si>
    <t>建成年代</t>
    <phoneticPr fontId="20" type="noConversion"/>
  </si>
  <si>
    <t>成本法</t>
  </si>
  <si>
    <t>比较法-住宅</t>
  </si>
  <si>
    <t>估价对象1（结果表）</t>
  </si>
  <si>
    <t>   </t>
  </si>
  <si>
    <t>  </t>
  </si>
  <si>
    <t>2007-3-5086-RB</t>
  </si>
  <si>
    <t>张旭</t>
  </si>
  <si>
    <t>北京市朝阳区</t>
  </si>
  <si>
    <t>百子湾家园207号楼2单元103号</t>
  </si>
  <si>
    <t>百子湾家园</t>
  </si>
  <si>
    <t>王姗</t>
  </si>
  <si>
    <t>22（-2）</t>
  </si>
  <si>
    <t>周边有沿海赛洛城、金都杭城、金海国际等住宅小区，居住社区成熟度较好</t>
    <phoneticPr fontId="35" type="noConversion"/>
  </si>
  <si>
    <t>距地铁1号线四惠站（换乘站）约1000米（2003），距地铁7号线百子湾站约1.5公里（2014），周边有多条公交线路通过，交通便捷度较好</t>
    <phoneticPr fontId="35" type="noConversion"/>
  </si>
  <si>
    <t>华堂商场（十里堡店）、北京四惠中医医院（2016）、北京市朝阳区日坛小学（1962）、垂杨柳第四小学（1971）、北京市第十七中学（百子湾校区）（1946）、北京市日坛中学（四惠校区）（2015）</t>
    <phoneticPr fontId="20" type="noConversion"/>
  </si>
  <si>
    <t>区域自然环境：惠水湾森林公园（2019）、百子湾绿地公园（2019）；人文环境：北京政法职业学院(杨闸校区)；综合评价环境状况较好</t>
    <phoneticPr fontId="35" type="noConversion"/>
  </si>
  <si>
    <r>
      <rPr>
        <sz val="10"/>
        <color theme="9" tint="-0.249977111117893"/>
        <rFont val="宋体"/>
        <family val="3"/>
        <charset val="134"/>
      </rPr>
      <t>城市次干道</t>
    </r>
    <r>
      <rPr>
        <sz val="10"/>
        <color theme="9" tint="-0.249977111117893"/>
        <rFont val="Arial"/>
        <family val="2"/>
      </rPr>
      <t>-</t>
    </r>
    <r>
      <rPr>
        <sz val="10"/>
        <color theme="9" tint="-0.249977111117893"/>
        <rFont val="宋体"/>
        <family val="2"/>
        <charset val="134"/>
      </rPr>
      <t>百子湾路</t>
    </r>
    <phoneticPr fontId="20" type="noConversion"/>
  </si>
  <si>
    <t>2007-22-P-01501-U</t>
    <phoneticPr fontId="4" type="noConversion"/>
  </si>
  <si>
    <t>赵宝全</t>
    <phoneticPr fontId="4" type="noConversion"/>
  </si>
  <si>
    <t>110103195805130412</t>
    <phoneticPr fontId="4" type="noConversion"/>
  </si>
  <si>
    <t>13641299468</t>
    <phoneticPr fontId="4" type="noConversion"/>
  </si>
  <si>
    <t>百子湾家园</t>
    <phoneticPr fontId="4" type="noConversion"/>
  </si>
  <si>
    <r>
      <t>203号楼</t>
    </r>
    <r>
      <rPr>
        <sz val="10"/>
        <rFont val="Times New Roman"/>
        <family val="1"/>
      </rPr>
      <t/>
    </r>
    <phoneticPr fontId="4" type="noConversion"/>
  </si>
  <si>
    <t>2单元1702号</t>
    <phoneticPr fontId="4" type="noConversion"/>
  </si>
  <si>
    <t>二室二厅一卫一厨</t>
    <phoneticPr fontId="4" type="noConversion"/>
  </si>
  <si>
    <t>复式、平层√、跃层、错层</t>
  </si>
  <si>
    <t>北京住房公积金管理中心住房公积金贷款中心</t>
    <phoneticPr fontId="4" type="noConversion"/>
  </si>
  <si>
    <t>李晶</t>
    <phoneticPr fontId="4" type="noConversion"/>
  </si>
  <si>
    <t>现房</t>
  </si>
  <si>
    <t>可抵押商品住宅</t>
  </si>
  <si>
    <t xml:space="preserve"> </t>
  </si>
  <si>
    <t>李晓岩</t>
    <phoneticPr fontId="4" type="noConversion"/>
  </si>
  <si>
    <t>四</t>
    <phoneticPr fontId="4" type="noConversion"/>
  </si>
  <si>
    <t>2007-jj-1711-B-701</t>
    <phoneticPr fontId="4" type="noConversion"/>
  </si>
  <si>
    <t>初审</t>
    <phoneticPr fontId="4" type="noConversion"/>
  </si>
  <si>
    <t>买卖协议</t>
    <phoneticPr fontId="4" type="noConversion"/>
  </si>
  <si>
    <t>张艳军</t>
    <phoneticPr fontId="4" type="noConversion"/>
  </si>
  <si>
    <t>二手房</t>
    <phoneticPr fontId="4" type="noConversion"/>
  </si>
  <si>
    <t>正常</t>
    <phoneticPr fontId="4" type="noConversion"/>
  </si>
  <si>
    <t>双方</t>
    <phoneticPr fontId="4" type="noConversion"/>
  </si>
  <si>
    <t>不含税费、出让金</t>
    <phoneticPr fontId="4" type="noConversion"/>
  </si>
  <si>
    <t>李晶</t>
  </si>
  <si>
    <t>北京住房公积金管理中心住房公积金贷款中心</t>
  </si>
  <si>
    <t>2007-2-CP-02750-U</t>
  </si>
  <si>
    <t>左霞</t>
  </si>
  <si>
    <t>42012419781103122X</t>
  </si>
  <si>
    <t>13671234067</t>
  </si>
  <si>
    <t>朝阳区</t>
  </si>
  <si>
    <t>百子湾家园305号楼</t>
  </si>
  <si>
    <t>301号</t>
  </si>
  <si>
    <t>尹焱</t>
  </si>
  <si>
    <t>二室二厅二卫一厨</t>
  </si>
  <si>
    <t>91302007070840</t>
  </si>
  <si>
    <t>胡哲明</t>
  </si>
  <si>
    <t>李晓岩</t>
  </si>
  <si>
    <t>七</t>
  </si>
  <si>
    <t>四</t>
  </si>
  <si>
    <t xml:space="preserve">胡哲明 </t>
  </si>
  <si>
    <t>初审意见书</t>
  </si>
  <si>
    <t>合同</t>
  </si>
  <si>
    <t>二手房</t>
  </si>
  <si>
    <t>中介</t>
  </si>
  <si>
    <t>不含任何税费</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</si>
  <si>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</si>
  <si>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</si>
  <si>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</si>
  <si>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</si>
  <si>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</si>
  <si>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</si>
  <si>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</si>
  <si>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</si>
  <si>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</si>
  <si>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</si>
  <si>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</si>
  <si>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</si>
  <si>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</si>
  <si>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</si>
  <si>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</si>
  <si>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</si>
  <si>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</si>
  <si>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</si>
  <si>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</si>
  <si>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</si>
  <si>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</si>
  <si>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</si>
  <si>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t>年</t>
    </r>
    <r>
      <rPr>
        <sz val="12"/>
        <color indexed="8"/>
        <rFont val="Times New Roman"/>
        <family val="1"/>
      </rPr>
      <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</si>
  <si>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</si>
  <si>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</si>
  <si>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</si>
  <si>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</si>
  <si>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</si>
  <si>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</si>
  <si>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</si>
  <si>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</si>
  <si>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</si>
  <si>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</si>
  <si>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</si>
  <si>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</si>
  <si>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</si>
  <si>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</si>
  <si>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</si>
  <si>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</si>
  <si>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</si>
  <si>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</si>
  <si>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</si>
  <si>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</si>
  <si>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</si>
  <si>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</si>
  <si>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</si>
  <si>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</si>
  <si>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</si>
  <si>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</si>
  <si>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</si>
  <si>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</si>
  <si>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</si>
  <si>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</si>
  <si>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</si>
  <si>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</si>
  <si>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</si>
  <si>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</si>
  <si>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</si>
  <si>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</si>
  <si>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</si>
  <si>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</si>
  <si>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</si>
  <si>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</si>
  <si>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</si>
  <si>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2007-2-CP-00078-U</t>
    <phoneticPr fontId="4" type="noConversion"/>
  </si>
  <si>
    <t>15号楼</t>
    <phoneticPr fontId="4" type="noConversion"/>
  </si>
  <si>
    <t>中介</t>
    <phoneticPr fontId="4" type="noConversion"/>
  </si>
  <si>
    <t>不含任何税费</t>
    <phoneticPr fontId="4" type="noConversion"/>
  </si>
  <si>
    <t>赵亮</t>
  </si>
  <si>
    <t>许冰</t>
    <phoneticPr fontId="4" type="noConversion"/>
  </si>
  <si>
    <t>630105197403111626</t>
    <phoneticPr fontId="4" type="noConversion"/>
  </si>
  <si>
    <t>4-101号</t>
    <phoneticPr fontId="4" type="noConversion"/>
  </si>
  <si>
    <t>成立严</t>
    <phoneticPr fontId="4" type="noConversion"/>
  </si>
  <si>
    <t>二室一厅一卫一厨</t>
    <phoneticPr fontId="4" type="noConversion"/>
  </si>
  <si>
    <t>复式、平层√、跃层、错层</t>
    <phoneticPr fontId="4" type="noConversion"/>
  </si>
  <si>
    <t>91302007010166</t>
    <phoneticPr fontId="4" type="noConversion"/>
  </si>
  <si>
    <t>赵亮</t>
    <phoneticPr fontId="4" type="noConversion"/>
  </si>
  <si>
    <t>现房</t>
    <phoneticPr fontId="4" type="noConversion"/>
  </si>
  <si>
    <t>可抵押经济适用住宅</t>
    <phoneticPr fontId="4" type="noConversion"/>
  </si>
  <si>
    <t>一</t>
    <phoneticPr fontId="4" type="noConversion"/>
  </si>
  <si>
    <t>45年</t>
    <phoneticPr fontId="4" type="noConversion"/>
  </si>
  <si>
    <t>五</t>
    <phoneticPr fontId="4" type="noConversion"/>
  </si>
  <si>
    <t>新增</t>
    <phoneticPr fontId="4" type="noConversion"/>
  </si>
  <si>
    <t>南北东</t>
  </si>
  <si>
    <t>通惠家园惠生园</t>
    <phoneticPr fontId="4" type="noConversion"/>
  </si>
  <si>
    <t>2016-3-01616-RA</t>
  </si>
  <si>
    <t>钢混</t>
    <phoneticPr fontId="20" type="noConversion"/>
  </si>
  <si>
    <t>简单装修</t>
    <phoneticPr fontId="20" type="noConversion"/>
  </si>
  <si>
    <t>毛坯</t>
    <phoneticPr fontId="20" type="noConversion"/>
  </si>
  <si>
    <t>普通物业管理</t>
  </si>
  <si>
    <t>普通物业管理</t>
    <phoneticPr fontId="20" type="noConversion"/>
  </si>
  <si>
    <t>板楼</t>
  </si>
  <si>
    <t>板楼</t>
    <phoneticPr fontId="20" type="noConversion"/>
  </si>
  <si>
    <t>板塔结合</t>
    <phoneticPr fontId="20" type="noConversion"/>
  </si>
  <si>
    <t>塔楼</t>
    <phoneticPr fontId="20" type="noConversion"/>
  </si>
  <si>
    <t>混合</t>
    <phoneticPr fontId="20" type="noConversion"/>
  </si>
  <si>
    <t>5号楼</t>
  </si>
  <si>
    <t>二室二厅一卫一厨</t>
  </si>
  <si>
    <t>五</t>
  </si>
  <si>
    <t>南北</t>
    <phoneticPr fontId="20" type="noConversion"/>
  </si>
  <si>
    <t>南</t>
    <phoneticPr fontId="20" type="noConversion"/>
  </si>
  <si>
    <t>东</t>
    <phoneticPr fontId="20" type="noConversion"/>
  </si>
  <si>
    <t>楼层</t>
    <phoneticPr fontId="20" type="noConversion"/>
  </si>
  <si>
    <t>电梯</t>
    <phoneticPr fontId="20" type="noConversion"/>
  </si>
  <si>
    <t>有</t>
    <phoneticPr fontId="20" type="noConversion"/>
  </si>
  <si>
    <t>无</t>
    <phoneticPr fontId="20" type="noConversion"/>
  </si>
  <si>
    <t>50</t>
    <phoneticPr fontId="4" type="noConversion"/>
  </si>
  <si>
    <t>利息：取LPR加浮动点数</t>
  </si>
  <si>
    <t>东关二条</t>
  </si>
  <si>
    <t>东关二条</t>
    <phoneticPr fontId="4" type="noConversion"/>
  </si>
  <si>
    <t>北京住房公积金管理中心中央国家机关分中心</t>
  </si>
  <si>
    <t>戴钧</t>
  </si>
  <si>
    <t>双方</t>
  </si>
  <si>
    <t>吴胜和</t>
  </si>
  <si>
    <t>买卖合同</t>
  </si>
  <si>
    <t>新增</t>
  </si>
  <si>
    <t>三</t>
  </si>
  <si>
    <t>京房权证昌私字第47725号</t>
  </si>
  <si>
    <t>刘朝阳</t>
  </si>
  <si>
    <t>邢轲</t>
  </si>
  <si>
    <t>三室二厅一卫一厨</t>
  </si>
  <si>
    <t>6号</t>
  </si>
  <si>
    <t>3单元3层</t>
  </si>
  <si>
    <t>12号楼</t>
  </si>
  <si>
    <t>昌平镇东关南里</t>
  </si>
  <si>
    <t>昌平区</t>
  </si>
  <si>
    <t>13521353803</t>
  </si>
  <si>
    <t>510523196910010814</t>
  </si>
  <si>
    <t>段礼祥</t>
  </si>
  <si>
    <t>2009-22-P-02368-U</t>
  </si>
  <si>
    <t>北京住房公积金管理中心昌平管理部</t>
  </si>
  <si>
    <t>胡晓</t>
  </si>
  <si>
    <t>王俊海</t>
  </si>
  <si>
    <t>232451</t>
  </si>
  <si>
    <t>协议</t>
  </si>
  <si>
    <t>X京房权证昌字第416421号</t>
  </si>
  <si>
    <t>十二</t>
  </si>
  <si>
    <t>马琳琳</t>
  </si>
  <si>
    <t>91162009120084</t>
  </si>
  <si>
    <t>二室一厅一卫一厨</t>
  </si>
  <si>
    <t>于胜奇</t>
  </si>
  <si>
    <t>401号</t>
  </si>
  <si>
    <t>4层1单元</t>
  </si>
  <si>
    <t>7号楼</t>
  </si>
  <si>
    <t>昌平镇东关二条</t>
  </si>
  <si>
    <t>110221196302061411</t>
  </si>
  <si>
    <t>2009-21-P-03885-U</t>
  </si>
  <si>
    <t>李有兴</t>
  </si>
  <si>
    <t>95334</t>
  </si>
  <si>
    <t>CW</t>
  </si>
  <si>
    <t>X京房权证昌字第417760号、X京房权证昌字第417761号</t>
  </si>
  <si>
    <t>91162009120187</t>
  </si>
  <si>
    <t>三室一厅一卫一厨</t>
  </si>
  <si>
    <t>涂中正、周秀文</t>
  </si>
  <si>
    <t>601号</t>
  </si>
  <si>
    <t>6层1单元</t>
  </si>
  <si>
    <t>11号楼</t>
  </si>
  <si>
    <t>420123198204025619、120224198211134822</t>
  </si>
  <si>
    <t>2009-21-P-03854-U</t>
  </si>
  <si>
    <t>简玉莹</t>
  </si>
  <si>
    <t>偏低</t>
  </si>
  <si>
    <t>段改莲</t>
  </si>
  <si>
    <t>92342</t>
  </si>
  <si>
    <t>三室二厅二卫一厨</t>
  </si>
  <si>
    <t>6层2单元</t>
  </si>
  <si>
    <t>33号楼</t>
  </si>
  <si>
    <r>
      <t>昌平镇东关南里小区</t>
    </r>
    <r>
      <rPr>
        <sz val="10"/>
        <color indexed="8"/>
        <rFont val="Times New Roman"/>
        <family val="1"/>
      </rPr>
      <t/>
    </r>
  </si>
  <si>
    <t>110221198209291633</t>
  </si>
  <si>
    <t>朱飞</t>
  </si>
  <si>
    <t>2009-21-P-03835-U</t>
  </si>
  <si>
    <t>梁茂林</t>
  </si>
  <si>
    <t>222005</t>
  </si>
  <si>
    <t>X京房权证昌字第414651号、X京房权证昌字第414652号</t>
  </si>
  <si>
    <t>91162009110307</t>
  </si>
  <si>
    <t>徐晓静、刘颖</t>
  </si>
  <si>
    <t>152号</t>
  </si>
  <si>
    <t>5层1单元</t>
  </si>
  <si>
    <t>2号楼</t>
  </si>
  <si>
    <t>昌平镇东关二条（空军二十三厂宿舍）</t>
  </si>
  <si>
    <t>110221198011033022、110221198109230913</t>
  </si>
  <si>
    <t>2009-21-P-03766-U</t>
  </si>
  <si>
    <t>姜建胜</t>
  </si>
  <si>
    <t>88021</t>
  </si>
  <si>
    <t>一</t>
  </si>
  <si>
    <t>X京房权证昌字第413653号</t>
  </si>
  <si>
    <t>91162009110224</t>
  </si>
  <si>
    <t>李伟</t>
  </si>
  <si>
    <t>311号</t>
  </si>
  <si>
    <r>
      <t>6层3单元</t>
    </r>
    <r>
      <rPr>
        <sz val="10"/>
        <rFont val="Times New Roman"/>
        <family val="1"/>
      </rPr>
      <t/>
    </r>
  </si>
  <si>
    <t>32号楼</t>
  </si>
  <si>
    <t>13911124844</t>
  </si>
  <si>
    <t>110221198208203814</t>
  </si>
  <si>
    <t>2009-21-P-03663-U</t>
  </si>
  <si>
    <t>张大中</t>
  </si>
  <si>
    <t>213850</t>
  </si>
  <si>
    <t>X京房权证昌字第413368号</t>
  </si>
  <si>
    <t>91162009110191</t>
  </si>
  <si>
    <t>陈振华</t>
  </si>
  <si>
    <t>3号</t>
  </si>
  <si>
    <t>3层2单元</t>
  </si>
  <si>
    <t>31号楼</t>
  </si>
  <si>
    <t>昌平镇东关南里小区</t>
  </si>
  <si>
    <t>13522619075</t>
  </si>
  <si>
    <t>132526197404181690</t>
  </si>
  <si>
    <t>2009-21-P-03619-U</t>
  </si>
  <si>
    <t>孙玉华</t>
  </si>
  <si>
    <t>84238</t>
  </si>
  <si>
    <t>X京房权证昌字第412018号</t>
  </si>
  <si>
    <t>十一</t>
  </si>
  <si>
    <t>91162009110096</t>
  </si>
  <si>
    <t>李春燕</t>
  </si>
  <si>
    <t>3层1单元</t>
  </si>
  <si>
    <t>22号楼</t>
  </si>
  <si>
    <t>110221196804060021</t>
  </si>
  <si>
    <t>2009-21-P-03519-U</t>
  </si>
  <si>
    <t>王雪峰</t>
  </si>
  <si>
    <t>82531</t>
  </si>
  <si>
    <t>151号</t>
  </si>
  <si>
    <t>4号楼</t>
  </si>
  <si>
    <t>342401198303214490</t>
  </si>
  <si>
    <t>朱成恒</t>
  </si>
  <si>
    <t>2009-21-P-03432-U</t>
  </si>
  <si>
    <t>任巍巍</t>
  </si>
  <si>
    <t>82395</t>
  </si>
  <si>
    <t>二</t>
  </si>
  <si>
    <t>618号</t>
  </si>
  <si>
    <t>7单元</t>
  </si>
  <si>
    <t>昌平镇东关二条路西</t>
  </si>
  <si>
    <t>110221196610150926</t>
  </si>
  <si>
    <t>肖桂云</t>
  </si>
  <si>
    <t>2009-21-P-03431-U</t>
  </si>
  <si>
    <t>秦亚春</t>
  </si>
  <si>
    <t>196041</t>
  </si>
  <si>
    <t>X京房权证昌字第410468号</t>
  </si>
  <si>
    <t>91162009100211</t>
  </si>
  <si>
    <t>王凯</t>
  </si>
  <si>
    <t>510号</t>
  </si>
  <si>
    <t>5层5单元</t>
  </si>
  <si>
    <t>14号楼</t>
  </si>
  <si>
    <t>110226198603195617</t>
  </si>
  <si>
    <t>2009-21-P-03342-U</t>
  </si>
  <si>
    <t>杨汉东</t>
  </si>
  <si>
    <t>180740</t>
  </si>
  <si>
    <t>251号</t>
  </si>
  <si>
    <t>5层2单元</t>
  </si>
  <si>
    <t>110229198208073416</t>
  </si>
  <si>
    <t>尤秀峰</t>
  </si>
  <si>
    <t>2009-21-P-03274-U</t>
  </si>
  <si>
    <t>韩静</t>
  </si>
  <si>
    <t>不含税费</t>
  </si>
  <si>
    <t>陈红</t>
  </si>
  <si>
    <t>X京房权证昌字第406958号</t>
  </si>
  <si>
    <t>十</t>
  </si>
  <si>
    <t>霍玉杰</t>
  </si>
  <si>
    <t>10号</t>
  </si>
  <si>
    <t>16号楼</t>
  </si>
  <si>
    <t>110221197911175945</t>
  </si>
  <si>
    <t>2009-21-P-03081-U</t>
  </si>
  <si>
    <t>李永成</t>
  </si>
  <si>
    <t>174813</t>
  </si>
  <si>
    <t>X京房权证昌字第406057号</t>
  </si>
  <si>
    <t>91162009090219</t>
  </si>
  <si>
    <t>郭富娜</t>
  </si>
  <si>
    <t>502号</t>
  </si>
  <si>
    <t>110229198110041846</t>
  </si>
  <si>
    <t>2009-21-P-03063-U</t>
  </si>
  <si>
    <t>薛晓峰</t>
  </si>
  <si>
    <t>169110</t>
  </si>
  <si>
    <t>X京房权证昌字第404386号</t>
  </si>
  <si>
    <t>91162009090113</t>
  </si>
  <si>
    <t>一室一厅一卫一厨</t>
  </si>
  <si>
    <t>韩秀文</t>
  </si>
  <si>
    <t>2号</t>
  </si>
  <si>
    <t>1层2单元</t>
  </si>
  <si>
    <t>13521733224</t>
  </si>
  <si>
    <t>110221195603040927</t>
  </si>
  <si>
    <t>2009-21-P-02942-U</t>
  </si>
  <si>
    <t>申富萍</t>
  </si>
  <si>
    <t>168266</t>
  </si>
  <si>
    <t>九</t>
  </si>
  <si>
    <t>3</t>
  </si>
  <si>
    <t>3层4单元</t>
  </si>
  <si>
    <t>110224198003243619</t>
  </si>
  <si>
    <t>桂德旺</t>
  </si>
  <si>
    <t>2009-21-P-02909-U</t>
  </si>
  <si>
    <t>张乃明</t>
  </si>
  <si>
    <t>150691</t>
  </si>
  <si>
    <t>X京房权证昌字第401730号</t>
  </si>
  <si>
    <t>91162009080264</t>
  </si>
  <si>
    <t>高磊</t>
  </si>
  <si>
    <t>11号</t>
  </si>
  <si>
    <t>6层7单元</t>
  </si>
  <si>
    <t>46号楼</t>
  </si>
  <si>
    <t>137163650894</t>
  </si>
  <si>
    <t>110111198111011033</t>
  </si>
  <si>
    <t>2009-21-P-02704-U</t>
  </si>
  <si>
    <t>62542</t>
  </si>
  <si>
    <t>白志红</t>
  </si>
  <si>
    <t>17号</t>
  </si>
  <si>
    <t>110227198603310044</t>
  </si>
  <si>
    <t>张丽娜</t>
  </si>
  <si>
    <t>2009-21-P-02703-U</t>
  </si>
  <si>
    <t>魏国辉</t>
  </si>
  <si>
    <t>60928</t>
  </si>
  <si>
    <t>X京房权证昌字第400867号</t>
  </si>
  <si>
    <t>91162009080151</t>
  </si>
  <si>
    <t>刘旭</t>
  </si>
  <si>
    <t>7号</t>
  </si>
  <si>
    <t>4层4单元</t>
  </si>
  <si>
    <t>21号楼</t>
  </si>
  <si>
    <t>13146199528</t>
  </si>
  <si>
    <t>110221198004158310</t>
  </si>
  <si>
    <t>2009-21-P-02613-U</t>
  </si>
  <si>
    <t>张松凤</t>
  </si>
  <si>
    <t>51458</t>
  </si>
  <si>
    <t xml:space="preserve">十 </t>
  </si>
  <si>
    <t>522号</t>
  </si>
  <si>
    <t>2层5单元</t>
  </si>
  <si>
    <t>370628197810186519</t>
  </si>
  <si>
    <t>衣龙强</t>
  </si>
  <si>
    <t>2009-21-P-02233-U</t>
  </si>
  <si>
    <t>刘志强</t>
  </si>
  <si>
    <t>50794</t>
  </si>
  <si>
    <t>131号</t>
  </si>
  <si>
    <t>110221198211258314</t>
  </si>
  <si>
    <t>赵悦</t>
  </si>
  <si>
    <t>2009-21-P-02203-U</t>
  </si>
  <si>
    <t>付小俊</t>
  </si>
  <si>
    <t>121411</t>
  </si>
  <si>
    <t>X京房权证昌字第394944号</t>
  </si>
  <si>
    <t>91162009070062</t>
  </si>
  <si>
    <t>马瑞波</t>
  </si>
  <si>
    <t>110223198104258776</t>
  </si>
  <si>
    <t>2009-21-P-02153-U</t>
  </si>
  <si>
    <t>13910633584</t>
  </si>
  <si>
    <t>冯久江</t>
  </si>
  <si>
    <t>102387</t>
  </si>
  <si>
    <t>X京房权证昌字第391303号</t>
  </si>
  <si>
    <t>六</t>
  </si>
  <si>
    <t>91162009060056</t>
  </si>
  <si>
    <t>沈海鹏</t>
  </si>
  <si>
    <t>13号</t>
  </si>
  <si>
    <t>4层</t>
  </si>
  <si>
    <t>39号楼</t>
  </si>
  <si>
    <t>东关南里</t>
  </si>
  <si>
    <t>15801646141</t>
  </si>
  <si>
    <t>410621197708250017</t>
  </si>
  <si>
    <t>2009-21-P-01656-U</t>
  </si>
  <si>
    <t>张玉玺</t>
  </si>
  <si>
    <t>34914</t>
  </si>
  <si>
    <t>X京房权证昌字第390312号</t>
  </si>
  <si>
    <t>91162009050317</t>
  </si>
  <si>
    <t>岳如兰</t>
  </si>
  <si>
    <t>12号</t>
  </si>
  <si>
    <t>6层4单元</t>
  </si>
  <si>
    <t>89145040</t>
  </si>
  <si>
    <t>430204198108082048</t>
  </si>
  <si>
    <t>2009-21-P-01532-U</t>
  </si>
  <si>
    <t>李露</t>
  </si>
  <si>
    <t>X京房权证昌字第389880号</t>
  </si>
  <si>
    <t>实际成交价83万，6707元每平方米</t>
  </si>
  <si>
    <t>91162009050283</t>
  </si>
  <si>
    <t>四室一厅二卫一厨</t>
  </si>
  <si>
    <t>赵万贵</t>
  </si>
  <si>
    <t>1层3单元</t>
  </si>
  <si>
    <t>29号楼</t>
  </si>
  <si>
    <t>13011196661</t>
  </si>
  <si>
    <t>110221195410160017</t>
  </si>
  <si>
    <t>2009-21-P-01527-U</t>
  </si>
  <si>
    <t>2009年5月5号</t>
  </si>
  <si>
    <t>朱淑清</t>
  </si>
  <si>
    <t>X京房权证昌字第387932号</t>
  </si>
  <si>
    <t>91162009050051</t>
  </si>
  <si>
    <t>5号</t>
  </si>
  <si>
    <t>2层2单元</t>
  </si>
  <si>
    <t>47号楼</t>
  </si>
  <si>
    <t>13801165467</t>
  </si>
  <si>
    <t>11022819760812121X</t>
  </si>
  <si>
    <t>刘学宇</t>
  </si>
  <si>
    <t>2009-21-P-01267-U</t>
  </si>
  <si>
    <t>王立红</t>
  </si>
  <si>
    <t>X京房权证昌字第386575号</t>
  </si>
  <si>
    <t>杨磊</t>
  </si>
  <si>
    <t>602号</t>
  </si>
  <si>
    <t>6层3单元</t>
  </si>
  <si>
    <t>11022119800614123X</t>
  </si>
  <si>
    <t>2009-21-P-01084-U</t>
  </si>
  <si>
    <t>徐丽红</t>
  </si>
  <si>
    <t>X京房权证昌字第385216号</t>
  </si>
  <si>
    <t>实际成交价36.5万，6625元/平米</t>
  </si>
  <si>
    <t>李磊</t>
  </si>
  <si>
    <t>452号</t>
  </si>
  <si>
    <t>5层4单元</t>
  </si>
  <si>
    <t>13161718081</t>
  </si>
  <si>
    <t>110221198307048354</t>
  </si>
  <si>
    <t>2009-21-P-00873-U</t>
  </si>
  <si>
    <t>徐云龙</t>
  </si>
  <si>
    <t>X京房权证昌字第384869号</t>
  </si>
  <si>
    <t>张雷</t>
  </si>
  <si>
    <t>16号</t>
  </si>
  <si>
    <t>41号楼</t>
  </si>
  <si>
    <t>13466673558</t>
  </si>
  <si>
    <t>152301198307222091</t>
  </si>
  <si>
    <t>2009-21-P-00839-U</t>
  </si>
  <si>
    <t>侯博华</t>
  </si>
  <si>
    <t>张敬霞</t>
  </si>
  <si>
    <t>X京房权证昌字第383047号</t>
  </si>
  <si>
    <t>付连军</t>
  </si>
  <si>
    <t>8号</t>
  </si>
  <si>
    <t>13号楼</t>
  </si>
  <si>
    <t>13381268582</t>
  </si>
  <si>
    <t>110221197502010015</t>
  </si>
  <si>
    <t>2009-21-P-00487-U</t>
  </si>
  <si>
    <t>王向锋</t>
  </si>
  <si>
    <t>X京房权证昌字第381952号</t>
  </si>
  <si>
    <t>实际成交价33.2万；6123元/平米</t>
  </si>
  <si>
    <t>王猛</t>
  </si>
  <si>
    <t>22号</t>
  </si>
  <si>
    <t>6层</t>
  </si>
  <si>
    <t>13911578206</t>
  </si>
  <si>
    <t>110227198504172715</t>
  </si>
  <si>
    <t>2009-21-P-00306-U</t>
  </si>
  <si>
    <t>尚继文</t>
  </si>
  <si>
    <t>X京房权证昌字第381684号</t>
  </si>
  <si>
    <t>周峰</t>
  </si>
  <si>
    <t>4层2单元</t>
  </si>
  <si>
    <t>15801458784</t>
  </si>
  <si>
    <t>110221198404103618</t>
  </si>
  <si>
    <t>2009-21-P-00270-U</t>
  </si>
  <si>
    <t>王纲</t>
  </si>
  <si>
    <t>X京房权证昌字第381528号</t>
  </si>
  <si>
    <t>董小林</t>
  </si>
  <si>
    <t>4层5单元</t>
  </si>
  <si>
    <t>43号楼</t>
  </si>
  <si>
    <t>13311012008</t>
  </si>
  <si>
    <t>110221198201055927</t>
  </si>
  <si>
    <t>2009-21-P-00234-U</t>
  </si>
  <si>
    <t>任海</t>
  </si>
  <si>
    <t>买卖协议</t>
  </si>
  <si>
    <t>X京房权证昌字第380670号</t>
  </si>
  <si>
    <r>
      <t>二室一厅一卫一厨</t>
    </r>
    <r>
      <rPr>
        <sz val="10"/>
        <rFont val="Times New Roman"/>
        <family val="1"/>
      </rPr>
      <t/>
    </r>
  </si>
  <si>
    <t>赵连群</t>
  </si>
  <si>
    <t>202号</t>
  </si>
  <si>
    <r>
      <t>2层4单元</t>
    </r>
    <r>
      <rPr>
        <sz val="10"/>
        <rFont val="Times New Roman"/>
        <family val="1"/>
      </rPr>
      <t/>
    </r>
  </si>
  <si>
    <t>13621198227</t>
  </si>
  <si>
    <t>110221196004127013</t>
  </si>
  <si>
    <t>2009-21-P-00099-U</t>
  </si>
  <si>
    <t>刘力军</t>
  </si>
  <si>
    <t>X京房权证昌字第380843号</t>
  </si>
  <si>
    <t>李震生</t>
  </si>
  <si>
    <t>143号</t>
  </si>
  <si>
    <r>
      <t>4层1单元</t>
    </r>
    <r>
      <rPr>
        <sz val="10"/>
        <rFont val="Times New Roman"/>
        <family val="1"/>
      </rPr>
      <t/>
    </r>
  </si>
  <si>
    <t>60712825</t>
  </si>
  <si>
    <t>110221197509270012</t>
  </si>
  <si>
    <t>2009-21-P-00022-U</t>
  </si>
  <si>
    <t>李长龙</t>
  </si>
  <si>
    <t>X京房权证昌字第380801号</t>
  </si>
  <si>
    <t>梁永康</t>
  </si>
  <si>
    <t>141号</t>
  </si>
  <si>
    <t>13241737210</t>
  </si>
  <si>
    <t>41030519620420303X</t>
  </si>
  <si>
    <t>2009-21-P-00020-U</t>
  </si>
  <si>
    <t>李富延</t>
  </si>
  <si>
    <t>X京房权证昌字第380829号</t>
  </si>
  <si>
    <t>崔军峰</t>
  </si>
  <si>
    <t>242号</t>
  </si>
  <si>
    <r>
      <t>4层2单元</t>
    </r>
    <r>
      <rPr>
        <sz val="10"/>
        <rFont val="Times New Roman"/>
        <family val="1"/>
      </rPr>
      <t/>
    </r>
  </si>
  <si>
    <t>60712233</t>
  </si>
  <si>
    <t>522121197804066877</t>
  </si>
  <si>
    <t>2009-21-P-00019-U</t>
  </si>
  <si>
    <t>王利军</t>
  </si>
  <si>
    <t>X京房权证昌字第380835号</t>
  </si>
  <si>
    <t>梁永健</t>
  </si>
  <si>
    <t>123号</t>
  </si>
  <si>
    <r>
      <t>2层1单元</t>
    </r>
    <r>
      <rPr>
        <sz val="10"/>
        <rFont val="Times New Roman"/>
        <family val="1"/>
      </rPr>
      <t/>
    </r>
  </si>
  <si>
    <t>410305196204203056</t>
  </si>
  <si>
    <t>2009-21-P-00018-U</t>
  </si>
  <si>
    <t>蔡志平</t>
  </si>
  <si>
    <t>X京房权证昌字第380838号</t>
  </si>
  <si>
    <t>徐小丽</t>
  </si>
  <si>
    <t>631号</t>
  </si>
  <si>
    <r>
      <t>3层6单元</t>
    </r>
    <r>
      <rPr>
        <sz val="10"/>
        <rFont val="Times New Roman"/>
        <family val="1"/>
      </rPr>
      <t/>
    </r>
  </si>
  <si>
    <t>370625196610178924</t>
  </si>
  <si>
    <t>2009-21-P-00017-U</t>
  </si>
  <si>
    <t>赵江</t>
  </si>
  <si>
    <t>X京房权证昌字第380834号</t>
  </si>
  <si>
    <t>龚承祥</t>
  </si>
  <si>
    <t>611号</t>
  </si>
  <si>
    <r>
      <t>1层6单元</t>
    </r>
    <r>
      <rPr>
        <sz val="10"/>
        <rFont val="Times New Roman"/>
        <family val="1"/>
      </rPr>
      <t/>
    </r>
  </si>
  <si>
    <t>132823197907265914</t>
  </si>
  <si>
    <t>2009-21-P-00016-U</t>
  </si>
  <si>
    <t>李海燕</t>
  </si>
  <si>
    <t>X京房权证昌字第380800号</t>
  </si>
  <si>
    <t>周海君</t>
  </si>
  <si>
    <t>422号</t>
  </si>
  <si>
    <t>110227197410183013</t>
  </si>
  <si>
    <t>2009-21-P-00015-U</t>
  </si>
  <si>
    <t>李红旗</t>
  </si>
  <si>
    <t>X京房权证昌字第378737号</t>
  </si>
  <si>
    <t>魏伯欣</t>
  </si>
  <si>
    <t>张宏雨</t>
  </si>
  <si>
    <t>13167538229</t>
  </si>
  <si>
    <t>132529197104265015</t>
  </si>
  <si>
    <t>2008-21-P-01888-U</t>
  </si>
  <si>
    <t>赵武民</t>
  </si>
  <si>
    <t>X京房权证昌字第380833号</t>
  </si>
  <si>
    <r>
      <t>三室一厅一卫一厨</t>
    </r>
    <r>
      <rPr>
        <sz val="10"/>
        <rFont val="Times New Roman"/>
        <family val="1"/>
      </rPr>
      <t/>
    </r>
  </si>
  <si>
    <t>赵鹏</t>
  </si>
  <si>
    <t>341号</t>
  </si>
  <si>
    <r>
      <t>4层3单元</t>
    </r>
    <r>
      <rPr>
        <sz val="10"/>
        <rFont val="Times New Roman"/>
        <family val="1"/>
      </rPr>
      <t/>
    </r>
  </si>
  <si>
    <t>130921197307141011</t>
  </si>
  <si>
    <t>2008-21-P-01764-U</t>
  </si>
  <si>
    <t>史颖丽</t>
  </si>
  <si>
    <t>X京房权证昌字第380836号</t>
  </si>
  <si>
    <t>梁铁钢</t>
  </si>
  <si>
    <t>641号</t>
  </si>
  <si>
    <r>
      <t>4层6单元</t>
    </r>
    <r>
      <rPr>
        <sz val="10"/>
        <rFont val="Times New Roman"/>
        <family val="1"/>
      </rPr>
      <t/>
    </r>
  </si>
  <si>
    <t>13910327297</t>
  </si>
  <si>
    <t>110221197605015919</t>
  </si>
  <si>
    <t>2008-21-P-01754-U</t>
  </si>
  <si>
    <t>侯宝林</t>
  </si>
  <si>
    <t>X京房权证昌字第380806号</t>
  </si>
  <si>
    <t>孙以海</t>
  </si>
  <si>
    <t>621号</t>
  </si>
  <si>
    <r>
      <t>2层6单元</t>
    </r>
    <r>
      <rPr>
        <sz val="10"/>
        <rFont val="Times New Roman"/>
        <family val="1"/>
      </rPr>
      <t/>
    </r>
  </si>
  <si>
    <t>15010093576</t>
  </si>
  <si>
    <t>342422197207140839</t>
  </si>
  <si>
    <t>2008-21-P-01753-U</t>
  </si>
  <si>
    <t>孙美华</t>
  </si>
  <si>
    <t>X京房权证昌字第380828号</t>
  </si>
  <si>
    <t>吴兴美</t>
  </si>
  <si>
    <t>342号</t>
  </si>
  <si>
    <t>522101197410107706</t>
  </si>
  <si>
    <t>2008-21-P-01752-U</t>
  </si>
  <si>
    <t>刘普</t>
  </si>
  <si>
    <t>X京房权证昌字第380832号</t>
  </si>
  <si>
    <t>谷云雁</t>
  </si>
  <si>
    <t>241号</t>
  </si>
  <si>
    <t>13810693210</t>
  </si>
  <si>
    <t>370103198309164025</t>
  </si>
  <si>
    <t>2008-21-P-01750-U</t>
  </si>
  <si>
    <t>王羽</t>
  </si>
  <si>
    <t>X京房权证昌字第380825号</t>
  </si>
  <si>
    <t>马志华</t>
  </si>
  <si>
    <t>243号</t>
  </si>
  <si>
    <t>13466678584</t>
  </si>
  <si>
    <t>142326198011175025</t>
  </si>
  <si>
    <t>2008-21-P-01749-U</t>
  </si>
  <si>
    <t>薛卫东</t>
  </si>
  <si>
    <t>X京房权证昌字第380830号</t>
  </si>
  <si>
    <t>刘力强</t>
  </si>
  <si>
    <t>542号</t>
  </si>
  <si>
    <r>
      <t>4层5单元</t>
    </r>
    <r>
      <rPr>
        <sz val="10"/>
        <rFont val="Times New Roman"/>
        <family val="1"/>
      </rPr>
      <t/>
    </r>
  </si>
  <si>
    <t>13693591360</t>
  </si>
  <si>
    <t>110221197202018314</t>
  </si>
  <si>
    <t>2008-21-P-01748-U</t>
  </si>
  <si>
    <t>王维园</t>
  </si>
  <si>
    <t>X京房权证昌字第380809号</t>
  </si>
  <si>
    <t>刘荣军</t>
  </si>
  <si>
    <t>552号</t>
  </si>
  <si>
    <r>
      <t>5层5单元</t>
    </r>
    <r>
      <rPr>
        <sz val="10"/>
        <rFont val="Times New Roman"/>
        <family val="1"/>
      </rPr>
      <t/>
    </r>
  </si>
  <si>
    <t>13552699324</t>
  </si>
  <si>
    <t>321088198107173951</t>
  </si>
  <si>
    <t>2008-21-P-01747-U</t>
  </si>
  <si>
    <t>张红鲜</t>
  </si>
  <si>
    <t>X京房权证昌字第378290号</t>
  </si>
  <si>
    <t>91162008120105</t>
  </si>
  <si>
    <t>王立君</t>
  </si>
  <si>
    <t>616号</t>
  </si>
  <si>
    <t>6层6单元</t>
  </si>
  <si>
    <t>15号楼</t>
  </si>
  <si>
    <t>13716324100</t>
  </si>
  <si>
    <t>11022119720526561X</t>
  </si>
  <si>
    <t>2008-21-P-01893-U</t>
  </si>
  <si>
    <t>刘芳</t>
  </si>
  <si>
    <t>X京房权证昌字第376636号</t>
  </si>
  <si>
    <t>张艳君</t>
  </si>
  <si>
    <t>9号</t>
  </si>
  <si>
    <t>28号楼</t>
  </si>
  <si>
    <t>13910683972</t>
  </si>
  <si>
    <t>110221197404104616、110221197611300046</t>
  </si>
  <si>
    <t>张艳君、刘俊鹍</t>
  </si>
  <si>
    <t>2008-21-P-01794-U</t>
  </si>
  <si>
    <t>李玉赤</t>
  </si>
  <si>
    <t>X京房权证昌字第374831号</t>
  </si>
  <si>
    <t>刘佳</t>
  </si>
  <si>
    <t>14号</t>
  </si>
  <si>
    <t>13811754992</t>
  </si>
  <si>
    <t>230604198401064724</t>
  </si>
  <si>
    <t>2008-21-P-01709-U</t>
  </si>
  <si>
    <t>高桂荣</t>
  </si>
  <si>
    <t>杨红英</t>
  </si>
  <si>
    <t>X京房权证昌字第368519号</t>
  </si>
  <si>
    <t>樊清</t>
  </si>
  <si>
    <t>38号楼</t>
  </si>
  <si>
    <t>13552698835</t>
  </si>
  <si>
    <t>11022119670908122X</t>
  </si>
  <si>
    <t>2008-21-P-01545-U</t>
  </si>
  <si>
    <t>许少梅</t>
  </si>
  <si>
    <t>X京房权证昌字第367185号</t>
  </si>
  <si>
    <t>邵磊</t>
  </si>
  <si>
    <t>1112号</t>
  </si>
  <si>
    <t>1号楼</t>
  </si>
  <si>
    <t>13910252357</t>
  </si>
  <si>
    <t>110221198111197016</t>
  </si>
  <si>
    <t>2008-21-P-01483-U</t>
  </si>
  <si>
    <t>X京房权证昌字第364986号</t>
  </si>
  <si>
    <t>赵红丽</t>
  </si>
  <si>
    <t>23号楼</t>
  </si>
  <si>
    <t>13683522298</t>
  </si>
  <si>
    <t>110221197404155026</t>
  </si>
  <si>
    <t>2008-21-P-01414-U</t>
  </si>
  <si>
    <t>张永生</t>
  </si>
  <si>
    <t>X京房权证昌私字第365059号</t>
  </si>
  <si>
    <t>王冬</t>
  </si>
  <si>
    <t>204号</t>
  </si>
  <si>
    <t>48号楼</t>
  </si>
  <si>
    <t>13810763899</t>
  </si>
  <si>
    <t>110221198111070015</t>
  </si>
  <si>
    <t>2008-21-P-01403-U</t>
  </si>
  <si>
    <t>张秀荣</t>
  </si>
  <si>
    <t>X京房权证昌私字第360220号</t>
  </si>
  <si>
    <t>李领生</t>
  </si>
  <si>
    <t>4号</t>
  </si>
  <si>
    <t>2单元</t>
  </si>
  <si>
    <t>13381268625</t>
  </si>
  <si>
    <t>110221196111150032</t>
  </si>
  <si>
    <t>2008-21-P-01159-U</t>
  </si>
  <si>
    <t>孙华云</t>
  </si>
  <si>
    <t>X京房权证昌私字第355602号</t>
  </si>
  <si>
    <t>91162008050261</t>
  </si>
  <si>
    <t>胡月明</t>
  </si>
  <si>
    <t>101号</t>
  </si>
  <si>
    <t>4单元</t>
  </si>
  <si>
    <t>13671326883</t>
  </si>
  <si>
    <t>110221198210170011</t>
  </si>
  <si>
    <t>2008-21-P-00686-U</t>
  </si>
  <si>
    <t>张爱民</t>
  </si>
  <si>
    <t>X京房权证昌私字第354865号</t>
  </si>
  <si>
    <t>91162008050079</t>
  </si>
  <si>
    <t>杨建会</t>
  </si>
  <si>
    <t>1单元</t>
  </si>
  <si>
    <t>13911889751</t>
  </si>
  <si>
    <t>110221196710214210</t>
  </si>
  <si>
    <t>2008-21-P-00657-U</t>
  </si>
  <si>
    <t>齐淑颖</t>
  </si>
  <si>
    <t>X京房权证昌私字第353067号</t>
  </si>
  <si>
    <t>91162008040114</t>
  </si>
  <si>
    <t>贾长辉</t>
  </si>
  <si>
    <t>305号</t>
  </si>
  <si>
    <t>15810139243</t>
  </si>
  <si>
    <t>230405197901020614</t>
  </si>
  <si>
    <t>2008-21-P-00564-U</t>
  </si>
  <si>
    <t>周耿汉</t>
  </si>
  <si>
    <t>X京房权证昌私字第351289号</t>
  </si>
  <si>
    <t>91162008040010</t>
  </si>
  <si>
    <t>杨艳明</t>
  </si>
  <si>
    <t>一层2号</t>
  </si>
  <si>
    <t>15810556739</t>
  </si>
  <si>
    <t>110221197103044621</t>
  </si>
  <si>
    <t>2008-21-P-00378-FU</t>
  </si>
  <si>
    <t>赵振兴</t>
  </si>
  <si>
    <t>X京房权证昌私字第350905号</t>
  </si>
  <si>
    <t>91162008040017</t>
  </si>
  <si>
    <t>韩利</t>
  </si>
  <si>
    <t>13810924742</t>
  </si>
  <si>
    <t>110221197608137014</t>
  </si>
  <si>
    <t>2008-21-P-00310-U</t>
  </si>
  <si>
    <t>李江</t>
  </si>
  <si>
    <t>X京房权证昌私字第346345号</t>
  </si>
  <si>
    <t>91162008020009</t>
  </si>
  <si>
    <t>张然</t>
  </si>
  <si>
    <t>13681349816</t>
  </si>
  <si>
    <t>110221197704215625</t>
  </si>
  <si>
    <t>2008-21-P-00127-U</t>
  </si>
  <si>
    <t>许新颖</t>
  </si>
  <si>
    <t>X京房权证昌私字第342754号</t>
  </si>
  <si>
    <t>91162008010043</t>
  </si>
  <si>
    <t>张继亮</t>
  </si>
  <si>
    <t>2层2号</t>
  </si>
  <si>
    <t>9号楼</t>
  </si>
  <si>
    <t>13716666306</t>
  </si>
  <si>
    <t>110221196404224218</t>
  </si>
  <si>
    <t>2008-21-P-00002-U</t>
  </si>
  <si>
    <t>仅限于抵押物</t>
  </si>
  <si>
    <t>评估通知单</t>
  </si>
  <si>
    <t>更改日期</t>
  </si>
  <si>
    <t>康正代办</t>
  </si>
  <si>
    <t>记录时间</t>
  </si>
  <si>
    <t>贷款机构</t>
  </si>
  <si>
    <t>评估日期</t>
  </si>
  <si>
    <t>东关二条</t>
    <phoneticPr fontId="20" type="noConversion"/>
  </si>
  <si>
    <t>东关二条</t>
    <phoneticPr fontId="20" type="noConversion"/>
  </si>
  <si>
    <t>6/6</t>
    <phoneticPr fontId="20" type="noConversion"/>
  </si>
  <si>
    <t>无</t>
    <phoneticPr fontId="20" type="noConversion"/>
  </si>
  <si>
    <t>2/6</t>
    <phoneticPr fontId="20" type="noConversion"/>
  </si>
  <si>
    <t>2/6</t>
    <phoneticPr fontId="20" type="noConversion"/>
  </si>
  <si>
    <t>4/6</t>
    <phoneticPr fontId="20" type="noConversion"/>
  </si>
  <si>
    <t>无租约</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</si>
</sst>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DBNum1][$-804]General"/>
    <numFmt numFmtId="197" formatCode="000000"/>
    <numFmt numFmtId="198" formatCode="_ &quot;￥&quot;* #,##0.00_ ;_ &quot;￥&quot;* \-#,##0.00_ ;_ &quot;￥&quot;* &quot;-&quot;??_ ;_ @_ "/>
    <numFmt numFmtId="199" formatCode="0;[Red]0"/>
  </numFmts>
  <fonts count="27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color rgb="FF333333"/>
      <name val="Microsoft YaHei"/>
      <family val="2"/>
    </font>
    <font>
      <sz val="9"/>
      <color rgb="FF000000"/>
      <name val="Microsoft YaHei"/>
      <family val="2"/>
    </font>
    <font>
      <sz val="9"/>
      <name val="Arial"/>
      <family val="2"/>
    </font>
    <font>
      <sz val="8"/>
      <name val="Arial"/>
      <family val="2"/>
    </font>
    <font>
      <sz val="12"/>
      <color rgb="FF333333"/>
      <name val="Microsoft YaHei"/>
      <family val="2"/>
    </font>
    <font>
      <sz val="10"/>
      <color theme="9" tint="-0.249977111117893"/>
      <name val="宋体"/>
      <family val="2"/>
      <charset val="134"/>
    </font>
    <font>
      <sz val="10"/>
      <color theme="9" tint="-0.249977111117893"/>
      <name val="Arial"/>
      <family val="3"/>
      <charset val="134"/>
    </font>
    <font>
      <sz val="10"/>
      <name val="Times New Roman"/>
      <family val="1"/>
    </font>
    <font>
      <sz val="12"/>
      <color indexed="8"/>
      <name val="Times New Roman"/>
      <family val="1"/>
    </font>
    <font>
      <sz val="10"/>
      <color indexed="8"/>
      <name val="Times New Roman"/>
      <family val="1"/>
    </font>
  </fonts>
  <fills count="2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
      <patternFill patternType="solid">
        <fgColor rgb="FFFDFDC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medium">
        <color rgb="FFCCCCCC"/>
      </left>
      <right style="medium">
        <color rgb="FFCCCCCC"/>
      </right>
      <top style="medium">
        <color rgb="FFCCCCCC"/>
      </top>
      <bottom style="medium">
        <color rgb="FFCCCCCC"/>
      </bottom>
      <diagonal/>
    </border>
  </borders>
  <cellStyleXfs count="23">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54" fillId="0" borderId="0" applyFont="0" applyFill="0" applyBorder="0" applyAlignment="0" applyProtection="0">
      <alignment vertical="center"/>
    </xf>
    <xf numFmtId="9" fontId="30" fillId="0" borderId="0" applyFont="0" applyFill="0" applyBorder="0" applyAlignment="0" applyProtection="0"/>
    <xf numFmtId="0" fontId="30" fillId="0" borderId="0"/>
    <xf numFmtId="198" fontId="30" fillId="0" borderId="0" applyFont="0" applyFill="0" applyBorder="0" applyAlignment="0" applyProtection="0"/>
    <xf numFmtId="44" fontId="93" fillId="0" borderId="0" applyFont="0" applyFill="0" applyBorder="0" applyAlignment="0" applyProtection="0">
      <alignment vertical="center"/>
    </xf>
    <xf numFmtId="44" fontId="30" fillId="0" borderId="0" applyFont="0" applyFill="0" applyBorder="0" applyAlignment="0" applyProtection="0"/>
    <xf numFmtId="9" fontId="30" fillId="0" borderId="0" applyFont="0" applyFill="0" applyBorder="0" applyAlignment="0" applyProtection="0"/>
    <xf numFmtId="0" fontId="93" fillId="0" borderId="0">
      <alignment vertical="center"/>
    </xf>
    <xf numFmtId="0" fontId="93" fillId="0" borderId="0"/>
  </cellStyleXfs>
  <cellXfs count="38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25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8"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9" fillId="21"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256" fillId="0" borderId="1" xfId="0" applyNumberFormat="1" applyFont="1" applyBorder="1" applyAlignment="1" applyProtection="1">
      <alignment horizontal="center" vertical="center" wrapText="1" shrinkToFit="1"/>
      <protection locked="0"/>
    </xf>
    <xf numFmtId="9" fontId="108" fillId="0" borderId="1" xfId="14" applyFont="1" applyBorder="1" applyAlignment="1" applyProtection="1">
      <alignment wrapText="1"/>
      <protection locked="0"/>
    </xf>
    <xf numFmtId="0" fontId="261" fillId="22" borderId="176" xfId="0" applyFont="1" applyFill="1" applyBorder="1" applyAlignment="1">
      <alignment horizontal="center" vertical="center" wrapText="1"/>
    </xf>
    <xf numFmtId="0" fontId="135" fillId="0" borderId="46"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62" fillId="5" borderId="16" xfId="0" applyNumberFormat="1" applyFont="1" applyFill="1" applyBorder="1" applyAlignment="1" applyProtection="1">
      <alignment horizontal="left" vertical="center" wrapText="1"/>
    </xf>
    <xf numFmtId="49" fontId="263" fillId="5" borderId="22" xfId="0" applyNumberFormat="1"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58" fontId="39"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6" fillId="0" borderId="1" xfId="0" applyFont="1" applyBorder="1" applyAlignment="1">
      <alignment horizontal="center"/>
    </xf>
    <xf numFmtId="0" fontId="16" fillId="0" borderId="1" xfId="0" applyFont="1" applyBorder="1" applyAlignment="1"/>
    <xf numFmtId="0" fontId="260" fillId="22" borderId="176" xfId="0" applyFont="1" applyFill="1" applyBorder="1" applyAlignment="1">
      <alignment horizontal="center" vertical="center" wrapText="1"/>
    </xf>
    <xf numFmtId="0" fontId="264" fillId="22" borderId="176" xfId="0" applyFont="1" applyFill="1" applyBorder="1" applyAlignment="1">
      <alignment horizontal="center" vertical="center" wrapText="1"/>
    </xf>
    <xf numFmtId="14" fontId="260" fillId="22" borderId="176" xfId="0" applyNumberFormat="1" applyFont="1" applyFill="1" applyBorder="1" applyAlignment="1">
      <alignment horizontal="center" vertical="center" wrapText="1"/>
    </xf>
    <xf numFmtId="0" fontId="265" fillId="0" borderId="6" xfId="0" applyFont="1" applyBorder="1" applyAlignment="1" applyProtection="1">
      <alignment horizontal="left" vertical="center" wrapText="1"/>
      <protection locked="0"/>
    </xf>
    <xf numFmtId="0" fontId="266" fillId="0" borderId="43" xfId="0" applyFont="1" applyBorder="1" applyAlignment="1" applyProtection="1">
      <alignment horizontal="left" vertical="center"/>
      <protection locked="0"/>
    </xf>
    <xf numFmtId="49" fontId="16" fillId="0" borderId="1" xfId="0" applyNumberFormat="1" applyFont="1" applyBorder="1" applyAlignment="1"/>
    <xf numFmtId="0" fontId="16" fillId="0" borderId="1" xfId="0" applyFont="1" applyBorder="1" applyAlignment="1">
      <alignment horizontal="left"/>
    </xf>
    <xf numFmtId="176" fontId="16" fillId="0" borderId="1" xfId="0" applyNumberFormat="1" applyFont="1" applyBorder="1" applyAlignment="1"/>
    <xf numFmtId="186" fontId="16" fillId="0" borderId="1" xfId="0" applyNumberFormat="1" applyFont="1" applyBorder="1" applyAlignment="1">
      <alignment horizontal="right"/>
    </xf>
    <xf numFmtId="2" fontId="16" fillId="0" borderId="1" xfId="0" applyNumberFormat="1" applyFont="1" applyBorder="1" applyAlignment="1">
      <alignment horizontal="right"/>
    </xf>
    <xf numFmtId="182" fontId="16" fillId="0" borderId="1" xfId="0" applyNumberFormat="1" applyFont="1" applyBorder="1" applyAlignment="1"/>
    <xf numFmtId="182" fontId="16" fillId="0" borderId="1" xfId="0" applyNumberFormat="1" applyFont="1" applyBorder="1" applyAlignment="1">
      <alignment horizontal="right"/>
    </xf>
    <xf numFmtId="0" fontId="16" fillId="0" borderId="1" xfId="0" applyFont="1" applyBorder="1" applyAlignment="1" applyProtection="1">
      <protection locked="0"/>
    </xf>
    <xf numFmtId="31" fontId="16" fillId="0" borderId="1" xfId="0" applyNumberFormat="1" applyFont="1" applyBorder="1" applyAlignment="1"/>
    <xf numFmtId="196" fontId="16" fillId="0" borderId="1" xfId="0" applyNumberFormat="1" applyFont="1" applyBorder="1" applyAlignment="1">
      <alignment horizontal="left"/>
    </xf>
    <xf numFmtId="49" fontId="16" fillId="0" borderId="1" xfId="0" applyNumberFormat="1" applyFont="1" applyBorder="1" applyAlignment="1" applyProtection="1">
      <protection locked="0"/>
    </xf>
    <xf numFmtId="197" fontId="16" fillId="0" borderId="1" xfId="0" applyNumberFormat="1" applyFont="1" applyBorder="1" applyAlignment="1" applyProtection="1">
      <protection locked="0"/>
    </xf>
    <xf numFmtId="179" fontId="16" fillId="0" borderId="1" xfId="0" applyNumberFormat="1" applyFont="1" applyBorder="1" applyAlignment="1" applyProtection="1">
      <protection locked="0"/>
    </xf>
    <xf numFmtId="31" fontId="16" fillId="0" borderId="1" xfId="0" applyNumberFormat="1" applyFont="1" applyBorder="1" applyAlignment="1">
      <alignment horizontal="right"/>
    </xf>
    <xf numFmtId="0" fontId="16" fillId="0" borderId="1" xfId="0" applyFont="1" applyBorder="1" applyAlignment="1" applyProtection="1">
      <alignment horizontal="center"/>
      <protection locked="0"/>
    </xf>
    <xf numFmtId="31" fontId="16" fillId="0" borderId="1" xfId="0" applyNumberFormat="1" applyFont="1" applyBorder="1" applyAlignment="1">
      <alignment horizontal="left"/>
    </xf>
    <xf numFmtId="184" fontId="16" fillId="0" borderId="1" xfId="0" applyNumberFormat="1" applyFont="1" applyBorder="1" applyAlignment="1" applyProtection="1">
      <protection locked="0"/>
    </xf>
    <xf numFmtId="0" fontId="16" fillId="0" borderId="0" xfId="0" applyFont="1" applyAlignment="1"/>
    <xf numFmtId="197" fontId="16" fillId="0" borderId="1" xfId="0" applyNumberFormat="1" applyFont="1" applyBorder="1" applyAlignment="1"/>
    <xf numFmtId="179" fontId="16" fillId="0" borderId="1" xfId="0" applyNumberFormat="1" applyFont="1" applyBorder="1" applyAlignment="1"/>
    <xf numFmtId="184" fontId="16" fillId="0" borderId="1" xfId="0" applyNumberFormat="1" applyFont="1" applyBorder="1" applyAlignment="1"/>
    <xf numFmtId="49" fontId="136" fillId="23" borderId="1" xfId="1" applyNumberFormat="1" applyFont="1" applyFill="1" applyBorder="1" applyAlignment="1" applyProtection="1">
      <alignment horizontal="center"/>
      <protection locked="0"/>
    </xf>
    <xf numFmtId="0" fontId="136" fillId="23" borderId="1" xfId="1" applyFont="1" applyFill="1" applyBorder="1" applyAlignment="1" applyProtection="1">
      <alignment horizontal="center"/>
      <protection locked="0"/>
    </xf>
    <xf numFmtId="176" fontId="136" fillId="23" borderId="1" xfId="1" applyNumberFormat="1" applyFont="1" applyFill="1" applyBorder="1" applyAlignment="1" applyProtection="1">
      <alignment horizontal="center"/>
      <protection locked="0"/>
    </xf>
    <xf numFmtId="186" fontId="136" fillId="23" borderId="1" xfId="1" applyNumberFormat="1" applyFont="1" applyFill="1" applyBorder="1" applyAlignment="1" applyProtection="1">
      <alignment horizontal="right"/>
      <protection locked="0"/>
    </xf>
    <xf numFmtId="182" fontId="136" fillId="23" borderId="1" xfId="1" applyNumberFormat="1" applyFont="1" applyFill="1" applyBorder="1" applyAlignment="1" applyProtection="1">
      <alignment horizontal="center"/>
      <protection locked="0"/>
    </xf>
    <xf numFmtId="0" fontId="230" fillId="23" borderId="1" xfId="1" applyFont="1" applyFill="1" applyBorder="1" applyAlignment="1" applyProtection="1">
      <alignment horizontal="center"/>
      <protection locked="0"/>
    </xf>
    <xf numFmtId="31" fontId="136" fillId="23" borderId="1" xfId="1" applyNumberFormat="1" applyFont="1" applyFill="1" applyBorder="1" applyAlignment="1" applyProtection="1">
      <alignment horizontal="center"/>
      <protection locked="0"/>
    </xf>
    <xf numFmtId="0" fontId="136" fillId="23" borderId="1" xfId="1" applyFont="1" applyFill="1" applyBorder="1" applyAlignment="1">
      <alignment horizontal="center"/>
    </xf>
    <xf numFmtId="0" fontId="136" fillId="24" borderId="1" xfId="1" applyFont="1" applyFill="1" applyBorder="1" applyAlignment="1" applyProtection="1">
      <alignment horizontal="center"/>
      <protection locked="0"/>
    </xf>
    <xf numFmtId="46" fontId="136" fillId="24" borderId="1" xfId="1" applyNumberFormat="1" applyFont="1" applyFill="1" applyBorder="1" applyAlignment="1" applyProtection="1">
      <alignment horizontal="center"/>
      <protection locked="0"/>
    </xf>
    <xf numFmtId="49" fontId="136" fillId="24" borderId="1" xfId="1" applyNumberFormat="1" applyFont="1" applyFill="1" applyBorder="1" applyAlignment="1" applyProtection="1">
      <alignment horizontal="center"/>
      <protection locked="0"/>
    </xf>
    <xf numFmtId="197" fontId="136" fillId="24" borderId="1" xfId="1" applyNumberFormat="1" applyFont="1" applyFill="1" applyBorder="1" applyAlignment="1" applyProtection="1">
      <alignment horizontal="center"/>
      <protection locked="0"/>
    </xf>
    <xf numFmtId="179" fontId="136" fillId="24" borderId="1" xfId="1" applyNumberFormat="1" applyFont="1" applyFill="1" applyBorder="1" applyAlignment="1" applyProtection="1">
      <alignment horizontal="center"/>
      <protection locked="0"/>
    </xf>
    <xf numFmtId="31" fontId="136" fillId="24" borderId="1" xfId="1" applyNumberFormat="1" applyFont="1" applyFill="1" applyBorder="1" applyAlignment="1" applyProtection="1">
      <alignment horizontal="center"/>
      <protection locked="0"/>
    </xf>
    <xf numFmtId="184" fontId="136" fillId="23" borderId="1" xfId="1" applyNumberFormat="1" applyFont="1" applyFill="1" applyBorder="1" applyAlignment="1" applyProtection="1">
      <alignment horizontal="center"/>
      <protection locked="0"/>
    </xf>
    <xf numFmtId="184" fontId="230" fillId="23" borderId="1" xfId="1" applyNumberFormat="1" applyFont="1" applyFill="1" applyBorder="1" applyAlignment="1" applyProtection="1">
      <alignment horizontal="center"/>
      <protection locked="0"/>
    </xf>
    <xf numFmtId="0" fontId="136" fillId="25" borderId="1" xfId="1" applyFont="1" applyFill="1" applyBorder="1" applyAlignment="1" applyProtection="1">
      <alignment horizontal="center"/>
      <protection locked="0"/>
    </xf>
    <xf numFmtId="0" fontId="136" fillId="0" borderId="0" xfId="1" applyFont="1" applyAlignment="1" applyProtection="1">
      <alignment horizontal="center"/>
      <protection locked="0"/>
    </xf>
    <xf numFmtId="49" fontId="16" fillId="0" borderId="1" xfId="0" applyNumberFormat="1" applyFont="1" applyBorder="1" applyAlignment="1">
      <alignment horizontal="left"/>
    </xf>
    <xf numFmtId="0" fontId="260" fillId="0" borderId="0" xfId="0" applyFont="1">
      <alignment vertical="center"/>
    </xf>
    <xf numFmtId="0" fontId="16" fillId="24" borderId="1" xfId="0" applyFont="1" applyFill="1" applyBorder="1" applyAlignment="1"/>
    <xf numFmtId="0" fontId="92" fillId="0" borderId="11" xfId="0" applyNumberFormat="1" applyFont="1" applyFill="1" applyBorder="1" applyAlignment="1" applyProtection="1">
      <alignment horizontal="left" vertical="center" wrapText="1"/>
      <protection locked="0"/>
    </xf>
    <xf numFmtId="58" fontId="39" fillId="0" borderId="23" xfId="0" applyNumberFormat="1" applyFont="1" applyFill="1" applyBorder="1" applyAlignment="1" applyProtection="1">
      <alignment horizontal="left" vertical="center" wrapText="1"/>
      <protection locked="0"/>
    </xf>
    <xf numFmtId="49" fontId="136" fillId="23" borderId="1" xfId="16" applyNumberFormat="1" applyFont="1" applyFill="1" applyBorder="1" applyAlignment="1" applyProtection="1">
      <alignment horizontal="center"/>
      <protection locked="0"/>
    </xf>
    <xf numFmtId="0" fontId="136" fillId="23" borderId="1" xfId="16" applyFont="1" applyFill="1" applyBorder="1" applyAlignment="1" applyProtection="1">
      <alignment horizontal="center"/>
      <protection locked="0"/>
    </xf>
    <xf numFmtId="182" fontId="136" fillId="23" borderId="1" xfId="16" applyNumberFormat="1" applyFont="1" applyFill="1" applyBorder="1" applyAlignment="1" applyProtection="1">
      <alignment horizontal="center"/>
      <protection locked="0"/>
    </xf>
    <xf numFmtId="0" fontId="230" fillId="23" borderId="1" xfId="16" applyFont="1" applyFill="1" applyBorder="1" applyAlignment="1" applyProtection="1">
      <alignment horizontal="center"/>
      <protection locked="0"/>
    </xf>
    <xf numFmtId="31" fontId="136" fillId="23" borderId="1" xfId="16" applyNumberFormat="1" applyFont="1" applyFill="1" applyBorder="1" applyAlignment="1" applyProtection="1">
      <alignment horizontal="center"/>
      <protection locked="0"/>
    </xf>
    <xf numFmtId="0" fontId="136" fillId="23" borderId="1" xfId="16" applyFont="1" applyFill="1" applyBorder="1" applyAlignment="1">
      <alignment horizontal="center"/>
    </xf>
    <xf numFmtId="0" fontId="136" fillId="24" borderId="1" xfId="16" applyFont="1" applyFill="1" applyBorder="1" applyAlignment="1" applyProtection="1">
      <alignment horizontal="center"/>
      <protection locked="0"/>
    </xf>
    <xf numFmtId="46" fontId="136" fillId="24" borderId="1" xfId="16" applyNumberFormat="1" applyFont="1" applyFill="1" applyBorder="1" applyAlignment="1" applyProtection="1">
      <alignment horizontal="center"/>
      <protection locked="0"/>
    </xf>
    <xf numFmtId="49" fontId="136" fillId="24" borderId="1" xfId="16" applyNumberFormat="1" applyFont="1" applyFill="1" applyBorder="1" applyAlignment="1" applyProtection="1">
      <alignment horizontal="center"/>
      <protection locked="0"/>
    </xf>
    <xf numFmtId="197" fontId="136" fillId="24" borderId="1" xfId="16" applyNumberFormat="1" applyFont="1" applyFill="1" applyBorder="1" applyAlignment="1" applyProtection="1">
      <alignment horizontal="center"/>
      <protection locked="0"/>
    </xf>
    <xf numFmtId="179" fontId="136" fillId="24" borderId="1" xfId="16" applyNumberFormat="1" applyFont="1" applyFill="1" applyBorder="1" applyAlignment="1" applyProtection="1">
      <alignment horizontal="center"/>
      <protection locked="0"/>
    </xf>
    <xf numFmtId="31" fontId="136" fillId="24" borderId="1" xfId="16" applyNumberFormat="1" applyFont="1" applyFill="1" applyBorder="1" applyAlignment="1" applyProtection="1">
      <alignment horizontal="center"/>
      <protection locked="0"/>
    </xf>
    <xf numFmtId="184" fontId="136" fillId="23" borderId="1" xfId="16" applyNumberFormat="1" applyFont="1" applyFill="1" applyBorder="1" applyAlignment="1" applyProtection="1">
      <alignment horizontal="center"/>
      <protection locked="0"/>
    </xf>
    <xf numFmtId="184" fontId="230" fillId="23" borderId="1" xfId="16" applyNumberFormat="1" applyFont="1" applyFill="1" applyBorder="1" applyAlignment="1" applyProtection="1">
      <alignment horizontal="center"/>
      <protection locked="0"/>
    </xf>
    <xf numFmtId="0" fontId="136" fillId="25" borderId="1" xfId="16" applyFont="1" applyFill="1" applyBorder="1" applyAlignment="1" applyProtection="1">
      <alignment horizontal="center"/>
      <protection locked="0"/>
    </xf>
    <xf numFmtId="49" fontId="39" fillId="0" borderId="32" xfId="0" applyNumberFormat="1" applyFont="1" applyFill="1" applyBorder="1" applyAlignment="1" applyProtection="1">
      <alignment horizontal="left" vertical="center" wrapText="1"/>
      <protection locked="0"/>
    </xf>
    <xf numFmtId="49" fontId="39" fillId="0" borderId="75"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3" fillId="0" borderId="0" xfId="8">
      <alignment vertical="center"/>
    </xf>
    <xf numFmtId="0" fontId="95" fillId="0" borderId="0" xfId="8" applyFont="1">
      <alignment vertical="center"/>
    </xf>
    <xf numFmtId="0" fontId="16" fillId="0" borderId="0" xfId="8" applyFont="1" applyAlignment="1"/>
    <xf numFmtId="0" fontId="16" fillId="0" borderId="0" xfId="8" applyFont="1" applyAlignment="1" applyProtection="1">
      <protection locked="0"/>
    </xf>
    <xf numFmtId="0" fontId="267" fillId="0" borderId="0" xfId="8" applyFont="1" applyAlignment="1"/>
    <xf numFmtId="0" fontId="16" fillId="0" borderId="1" xfId="8" applyFont="1" applyBorder="1" applyAlignment="1" applyProtection="1">
      <protection locked="0"/>
    </xf>
    <xf numFmtId="0" fontId="16" fillId="0" borderId="1" xfId="8" applyFont="1" applyBorder="1" applyAlignment="1"/>
    <xf numFmtId="184" fontId="16" fillId="0" borderId="1" xfId="8" applyNumberFormat="1" applyFont="1" applyBorder="1" applyAlignment="1" applyProtection="1">
      <protection locked="0"/>
    </xf>
    <xf numFmtId="31" fontId="16" fillId="0" borderId="1" xfId="8" applyNumberFormat="1" applyFont="1" applyBorder="1" applyAlignment="1" applyProtection="1">
      <protection locked="0"/>
    </xf>
    <xf numFmtId="179" fontId="16" fillId="0" borderId="1" xfId="8" applyNumberFormat="1" applyFont="1" applyBorder="1" applyAlignment="1" applyProtection="1">
      <protection locked="0"/>
    </xf>
    <xf numFmtId="197" fontId="16" fillId="0" borderId="1" xfId="8" applyNumberFormat="1" applyFont="1" applyBorder="1" applyAlignment="1" applyProtection="1">
      <protection locked="0"/>
    </xf>
    <xf numFmtId="49" fontId="16" fillId="0" borderId="1" xfId="8" applyNumberFormat="1" applyFont="1" applyBorder="1" applyAlignment="1" applyProtection="1">
      <protection locked="0"/>
    </xf>
    <xf numFmtId="0" fontId="16" fillId="0" borderId="1" xfId="8" applyFont="1" applyBorder="1" applyAlignment="1">
      <alignment horizontal="center"/>
    </xf>
    <xf numFmtId="196" fontId="16" fillId="0" borderId="1" xfId="8" applyNumberFormat="1" applyFont="1" applyBorder="1" applyAlignment="1">
      <alignment horizontal="center"/>
    </xf>
    <xf numFmtId="31" fontId="16" fillId="0" borderId="1" xfId="8" applyNumberFormat="1" applyFont="1" applyBorder="1" applyAlignment="1"/>
    <xf numFmtId="49" fontId="16" fillId="0" borderId="1" xfId="8" applyNumberFormat="1" applyFont="1" applyBorder="1" applyAlignment="1"/>
    <xf numFmtId="182" fontId="16" fillId="0" borderId="1" xfId="8" applyNumberFormat="1" applyFont="1" applyBorder="1" applyAlignment="1">
      <alignment horizontal="right"/>
    </xf>
    <xf numFmtId="2" fontId="16" fillId="0" borderId="1" xfId="8" applyNumberFormat="1" applyFont="1" applyBorder="1" applyAlignment="1">
      <alignment horizontal="right"/>
    </xf>
    <xf numFmtId="9" fontId="16" fillId="0" borderId="1" xfId="8" applyNumberFormat="1" applyFont="1" applyBorder="1" applyAlignment="1"/>
    <xf numFmtId="182" fontId="16" fillId="0" borderId="1" xfId="8" applyNumberFormat="1" applyFont="1" applyBorder="1" applyAlignment="1"/>
    <xf numFmtId="0" fontId="143" fillId="0" borderId="1" xfId="8" applyFont="1" applyBorder="1" applyAlignment="1"/>
    <xf numFmtId="1" fontId="16" fillId="0" borderId="1" xfId="8" applyNumberFormat="1" applyFont="1" applyBorder="1" applyAlignment="1">
      <alignment horizontal="center"/>
    </xf>
    <xf numFmtId="44" fontId="16" fillId="0" borderId="1" xfId="18" applyFont="1" applyFill="1" applyBorder="1" applyAlignment="1">
      <alignment horizontal="left"/>
    </xf>
    <xf numFmtId="0" fontId="16" fillId="0" borderId="1" xfId="8" applyFont="1" applyBorder="1" applyAlignment="1">
      <alignment horizontal="left"/>
    </xf>
    <xf numFmtId="184" fontId="16" fillId="0" borderId="1" xfId="8" applyNumberFormat="1" applyFont="1" applyBorder="1" applyAlignment="1"/>
    <xf numFmtId="179" fontId="16" fillId="0" borderId="1" xfId="8" applyNumberFormat="1" applyFont="1" applyBorder="1" applyAlignment="1"/>
    <xf numFmtId="197" fontId="16" fillId="0" borderId="1" xfId="8" applyNumberFormat="1" applyFont="1" applyBorder="1" applyAlignment="1"/>
    <xf numFmtId="176" fontId="16" fillId="0" borderId="1" xfId="8" applyNumberFormat="1" applyFont="1" applyBorder="1" applyAlignment="1">
      <alignment horizontal="right"/>
    </xf>
    <xf numFmtId="196" fontId="16" fillId="0" borderId="1" xfId="8" applyNumberFormat="1" applyFont="1" applyBorder="1" applyAlignment="1"/>
    <xf numFmtId="0" fontId="93" fillId="6" borderId="0" xfId="8" applyFill="1">
      <alignment vertical="center"/>
    </xf>
    <xf numFmtId="0" fontId="16" fillId="6" borderId="0" xfId="8" applyFont="1" applyFill="1" applyAlignment="1" applyProtection="1">
      <protection locked="0"/>
    </xf>
    <xf numFmtId="0" fontId="267" fillId="6" borderId="0" xfId="8" applyFont="1" applyFill="1" applyAlignment="1"/>
    <xf numFmtId="0" fontId="16" fillId="6" borderId="1" xfId="8" applyFont="1" applyFill="1" applyBorder="1" applyAlignment="1" applyProtection="1">
      <protection locked="0"/>
    </xf>
    <xf numFmtId="0" fontId="16" fillId="6" borderId="1" xfId="8" applyFont="1" applyFill="1" applyBorder="1" applyAlignment="1"/>
    <xf numFmtId="184" fontId="16" fillId="6" borderId="1" xfId="8" applyNumberFormat="1" applyFont="1" applyFill="1" applyBorder="1" applyAlignment="1" applyProtection="1">
      <protection locked="0"/>
    </xf>
    <xf numFmtId="31" fontId="16" fillId="6" borderId="1" xfId="8" applyNumberFormat="1" applyFont="1" applyFill="1" applyBorder="1" applyAlignment="1" applyProtection="1">
      <protection locked="0"/>
    </xf>
    <xf numFmtId="179" fontId="16" fillId="6" borderId="1" xfId="8" applyNumberFormat="1" applyFont="1" applyFill="1" applyBorder="1" applyAlignment="1" applyProtection="1">
      <protection locked="0"/>
    </xf>
    <xf numFmtId="49" fontId="16" fillId="6" borderId="1" xfId="8" applyNumberFormat="1" applyFont="1" applyFill="1" applyBorder="1" applyAlignment="1" applyProtection="1">
      <protection locked="0"/>
    </xf>
    <xf numFmtId="197" fontId="16" fillId="6" borderId="1" xfId="8" applyNumberFormat="1" applyFont="1" applyFill="1" applyBorder="1" applyAlignment="1" applyProtection="1">
      <protection locked="0"/>
    </xf>
    <xf numFmtId="196" fontId="16" fillId="6" borderId="1" xfId="8" applyNumberFormat="1" applyFont="1" applyFill="1" applyBorder="1" applyAlignment="1">
      <alignment horizontal="center"/>
    </xf>
    <xf numFmtId="31" fontId="16" fillId="6" borderId="1" xfId="8" applyNumberFormat="1" applyFont="1" applyFill="1" applyBorder="1" applyAlignment="1"/>
    <xf numFmtId="0" fontId="16" fillId="6" borderId="1" xfId="8" applyFont="1" applyFill="1" applyBorder="1" applyAlignment="1">
      <alignment horizontal="center"/>
    </xf>
    <xf numFmtId="49" fontId="16" fillId="6" borderId="1" xfId="8" applyNumberFormat="1" applyFont="1" applyFill="1" applyBorder="1" applyAlignment="1"/>
    <xf numFmtId="182" fontId="16" fillId="6" borderId="1" xfId="8" applyNumberFormat="1" applyFont="1" applyFill="1" applyBorder="1" applyAlignment="1">
      <alignment horizontal="right"/>
    </xf>
    <xf numFmtId="2" fontId="16" fillId="6" borderId="1" xfId="8" applyNumberFormat="1" applyFont="1" applyFill="1" applyBorder="1" applyAlignment="1">
      <alignment horizontal="right"/>
    </xf>
    <xf numFmtId="9" fontId="16" fillId="6" borderId="1" xfId="8" applyNumberFormat="1" applyFont="1" applyFill="1" applyBorder="1" applyAlignment="1"/>
    <xf numFmtId="182" fontId="16" fillId="6" borderId="1" xfId="8" applyNumberFormat="1" applyFont="1" applyFill="1" applyBorder="1" applyAlignment="1"/>
    <xf numFmtId="0" fontId="143" fillId="6" borderId="1" xfId="8" applyFont="1" applyFill="1" applyBorder="1" applyAlignment="1"/>
    <xf numFmtId="1" fontId="16" fillId="6" borderId="1" xfId="8" applyNumberFormat="1" applyFont="1" applyFill="1" applyBorder="1" applyAlignment="1">
      <alignment horizontal="center"/>
    </xf>
    <xf numFmtId="44" fontId="16" fillId="6" borderId="1" xfId="18" applyFont="1" applyFill="1" applyBorder="1" applyAlignment="1">
      <alignment horizontal="left"/>
    </xf>
    <xf numFmtId="0" fontId="93" fillId="26" borderId="0" xfId="8" applyFill="1">
      <alignment vertical="center"/>
    </xf>
    <xf numFmtId="0" fontId="16" fillId="26" borderId="0" xfId="8" applyFont="1" applyFill="1" applyAlignment="1"/>
    <xf numFmtId="0" fontId="16" fillId="26" borderId="0" xfId="8" applyFont="1" applyFill="1" applyAlignment="1" applyProtection="1">
      <protection locked="0"/>
    </xf>
    <xf numFmtId="0" fontId="267" fillId="26" borderId="0" xfId="8" applyFont="1" applyFill="1" applyAlignment="1"/>
    <xf numFmtId="0" fontId="16" fillId="26" borderId="1" xfId="8" applyFont="1" applyFill="1" applyBorder="1" applyAlignment="1" applyProtection="1">
      <protection locked="0"/>
    </xf>
    <xf numFmtId="0" fontId="16" fillId="26" borderId="1" xfId="8" applyFont="1" applyFill="1" applyBorder="1" applyAlignment="1"/>
    <xf numFmtId="184" fontId="16" fillId="26" borderId="1" xfId="8" applyNumberFormat="1" applyFont="1" applyFill="1" applyBorder="1" applyAlignment="1"/>
    <xf numFmtId="31" fontId="16" fillId="26" borderId="1" xfId="8" applyNumberFormat="1" applyFont="1" applyFill="1" applyBorder="1" applyAlignment="1"/>
    <xf numFmtId="179" fontId="16" fillId="26" borderId="1" xfId="8" applyNumberFormat="1" applyFont="1" applyFill="1" applyBorder="1" applyAlignment="1"/>
    <xf numFmtId="197" fontId="16" fillId="26" borderId="1" xfId="8" applyNumberFormat="1" applyFont="1" applyFill="1" applyBorder="1" applyAlignment="1"/>
    <xf numFmtId="49" fontId="16" fillId="26" borderId="1" xfId="8" applyNumberFormat="1" applyFont="1" applyFill="1" applyBorder="1" applyAlignment="1"/>
    <xf numFmtId="182" fontId="16" fillId="26" borderId="1" xfId="8" applyNumberFormat="1" applyFont="1" applyFill="1" applyBorder="1" applyAlignment="1">
      <alignment horizontal="right"/>
    </xf>
    <xf numFmtId="2" fontId="16" fillId="26" borderId="1" xfId="8" applyNumberFormat="1" applyFont="1" applyFill="1" applyBorder="1" applyAlignment="1">
      <alignment horizontal="right"/>
    </xf>
    <xf numFmtId="9" fontId="16" fillId="26" borderId="1" xfId="8" applyNumberFormat="1" applyFont="1" applyFill="1" applyBorder="1" applyAlignment="1"/>
    <xf numFmtId="182" fontId="16" fillId="26" borderId="1" xfId="8" applyNumberFormat="1" applyFont="1" applyFill="1" applyBorder="1" applyAlignment="1"/>
    <xf numFmtId="0" fontId="143" fillId="26" borderId="1" xfId="8" applyFont="1" applyFill="1" applyBorder="1" applyAlignment="1"/>
    <xf numFmtId="184" fontId="16" fillId="6" borderId="1" xfId="8" applyNumberFormat="1" applyFont="1" applyFill="1" applyBorder="1" applyAlignment="1"/>
    <xf numFmtId="0" fontId="16" fillId="26" borderId="1" xfId="8" applyFont="1" applyFill="1" applyBorder="1" applyAlignment="1" applyProtection="1">
      <alignment horizontal="left"/>
      <protection locked="0"/>
    </xf>
    <xf numFmtId="196" fontId="16" fillId="26" borderId="1" xfId="8" applyNumberFormat="1" applyFont="1" applyFill="1" applyBorder="1" applyAlignment="1">
      <alignment horizontal="center"/>
    </xf>
    <xf numFmtId="184" fontId="16" fillId="26" borderId="1" xfId="8" applyNumberFormat="1" applyFont="1" applyFill="1" applyBorder="1" applyAlignment="1" applyProtection="1">
      <protection locked="0"/>
    </xf>
    <xf numFmtId="31" fontId="16" fillId="26" borderId="1" xfId="8" applyNumberFormat="1" applyFont="1" applyFill="1" applyBorder="1" applyAlignment="1" applyProtection="1">
      <protection locked="0"/>
    </xf>
    <xf numFmtId="179" fontId="16" fillId="26" borderId="1" xfId="8" applyNumberFormat="1" applyFont="1" applyFill="1" applyBorder="1" applyAlignment="1" applyProtection="1">
      <protection locked="0"/>
    </xf>
    <xf numFmtId="197" fontId="16" fillId="26" borderId="1" xfId="8" applyNumberFormat="1" applyFont="1" applyFill="1" applyBorder="1" applyAlignment="1" applyProtection="1">
      <protection locked="0"/>
    </xf>
    <xf numFmtId="49" fontId="16" fillId="26" borderId="1" xfId="8" applyNumberFormat="1" applyFont="1" applyFill="1" applyBorder="1" applyAlignment="1" applyProtection="1">
      <protection locked="0"/>
    </xf>
    <xf numFmtId="1" fontId="16" fillId="26" borderId="1" xfId="8" applyNumberFormat="1" applyFont="1" applyFill="1" applyBorder="1" applyAlignment="1">
      <alignment horizontal="center"/>
    </xf>
    <xf numFmtId="44" fontId="16" fillId="26" borderId="1" xfId="18" applyFont="1" applyFill="1" applyBorder="1" applyAlignment="1">
      <alignment horizontal="left"/>
    </xf>
    <xf numFmtId="0" fontId="16" fillId="6" borderId="1" xfId="8" applyFont="1" applyFill="1" applyBorder="1" applyAlignment="1" applyProtection="1">
      <alignment horizontal="left"/>
      <protection locked="0"/>
    </xf>
    <xf numFmtId="0" fontId="16" fillId="6" borderId="0" xfId="8" applyFont="1" applyFill="1" applyAlignment="1"/>
    <xf numFmtId="12" fontId="16" fillId="6" borderId="1" xfId="8" applyNumberFormat="1" applyFont="1" applyFill="1" applyBorder="1" applyAlignment="1"/>
    <xf numFmtId="199" fontId="16" fillId="0" borderId="1" xfId="8" applyNumberFormat="1" applyFont="1" applyBorder="1" applyAlignment="1"/>
    <xf numFmtId="2" fontId="16" fillId="0" borderId="1" xfId="8" applyNumberFormat="1" applyFont="1" applyBorder="1" applyAlignment="1"/>
    <xf numFmtId="0" fontId="16" fillId="0" borderId="0" xfId="16" applyFont="1" applyFill="1" applyBorder="1"/>
    <xf numFmtId="0" fontId="267" fillId="0" borderId="0" xfId="16" applyFont="1" applyFill="1" applyBorder="1"/>
    <xf numFmtId="0" fontId="16" fillId="0" borderId="1" xfId="16" applyFont="1" applyFill="1" applyBorder="1" applyProtection="1">
      <protection locked="0"/>
    </xf>
    <xf numFmtId="0" fontId="16" fillId="0" borderId="1" xfId="16" applyFont="1" applyFill="1" applyBorder="1"/>
    <xf numFmtId="184" fontId="16" fillId="0" borderId="1" xfId="16" applyNumberFormat="1" applyFont="1" applyFill="1" applyBorder="1" applyProtection="1">
      <protection locked="0"/>
    </xf>
    <xf numFmtId="31" fontId="16" fillId="0" borderId="1" xfId="16" applyNumberFormat="1" applyFont="1" applyFill="1" applyBorder="1" applyProtection="1">
      <protection locked="0"/>
    </xf>
    <xf numFmtId="179" fontId="16" fillId="0" borderId="1" xfId="16" applyNumberFormat="1" applyFont="1" applyFill="1" applyBorder="1" applyProtection="1">
      <protection locked="0"/>
    </xf>
    <xf numFmtId="197" fontId="16" fillId="0" borderId="1" xfId="16" applyNumberFormat="1" applyFont="1" applyFill="1" applyBorder="1" applyProtection="1">
      <protection locked="0"/>
    </xf>
    <xf numFmtId="49" fontId="16" fillId="0" borderId="1" xfId="16" applyNumberFormat="1" applyFont="1" applyFill="1" applyBorder="1" applyProtection="1">
      <protection locked="0"/>
    </xf>
    <xf numFmtId="196" fontId="16" fillId="0" borderId="1" xfId="16" applyNumberFormat="1" applyFont="1" applyFill="1" applyBorder="1" applyAlignment="1" applyProtection="1">
      <alignment horizontal="center"/>
    </xf>
    <xf numFmtId="31" fontId="16" fillId="0" borderId="1" xfId="16" applyNumberFormat="1" applyFont="1" applyFill="1" applyBorder="1" applyProtection="1"/>
    <xf numFmtId="0" fontId="16" fillId="0" borderId="1" xfId="16" applyFont="1" applyFill="1" applyBorder="1" applyProtection="1"/>
    <xf numFmtId="49" fontId="16" fillId="0" borderId="1" xfId="16" applyNumberFormat="1" applyFont="1" applyFill="1" applyBorder="1" applyProtection="1"/>
    <xf numFmtId="182" fontId="16" fillId="0" borderId="1" xfId="16" applyNumberFormat="1" applyFont="1" applyFill="1" applyBorder="1" applyAlignment="1">
      <alignment horizontal="right"/>
    </xf>
    <xf numFmtId="2" fontId="16" fillId="0" borderId="1" xfId="16" applyNumberFormat="1" applyFont="1" applyFill="1" applyBorder="1" applyAlignment="1" applyProtection="1">
      <alignment horizontal="right"/>
    </xf>
    <xf numFmtId="9" fontId="16" fillId="0" borderId="1" xfId="16" applyNumberFormat="1" applyFont="1" applyFill="1" applyBorder="1"/>
    <xf numFmtId="182" fontId="16" fillId="0" borderId="1" xfId="16" applyNumberFormat="1" applyFont="1" applyFill="1" applyBorder="1"/>
    <xf numFmtId="2" fontId="16" fillId="0" borderId="1" xfId="16" applyNumberFormat="1" applyFont="1" applyFill="1" applyBorder="1" applyAlignment="1">
      <alignment horizontal="right"/>
    </xf>
    <xf numFmtId="0" fontId="143" fillId="0" borderId="1" xfId="16" applyFont="1" applyFill="1" applyBorder="1"/>
    <xf numFmtId="1" fontId="16" fillId="0" borderId="1" xfId="16" applyNumberFormat="1" applyFont="1" applyFill="1" applyBorder="1" applyAlignment="1">
      <alignment horizontal="center"/>
    </xf>
    <xf numFmtId="49" fontId="16" fillId="0" borderId="1" xfId="16" applyNumberFormat="1" applyFont="1" applyFill="1" applyBorder="1"/>
    <xf numFmtId="44" fontId="16" fillId="0" borderId="1" xfId="19" applyFont="1" applyFill="1" applyBorder="1" applyAlignment="1">
      <alignment horizontal="left"/>
    </xf>
    <xf numFmtId="0" fontId="16" fillId="0" borderId="0" xfId="16" applyFont="1" applyFill="1" applyBorder="1" applyProtection="1">
      <protection locked="0"/>
    </xf>
    <xf numFmtId="0" fontId="16" fillId="0" borderId="1" xfId="16" applyFont="1" applyFill="1" applyBorder="1" applyAlignment="1">
      <alignment horizontal="center"/>
    </xf>
    <xf numFmtId="31" fontId="16" fillId="0" borderId="1" xfId="16" applyNumberFormat="1" applyFont="1" applyFill="1" applyBorder="1"/>
    <xf numFmtId="179" fontId="16" fillId="0" borderId="1" xfId="16" applyNumberFormat="1" applyFont="1" applyFill="1" applyBorder="1"/>
    <xf numFmtId="197" fontId="16" fillId="0" borderId="1" xfId="16" applyNumberFormat="1" applyFont="1" applyFill="1" applyBorder="1"/>
    <xf numFmtId="0" fontId="16" fillId="0" borderId="1" xfId="16" applyFont="1" applyFill="1" applyBorder="1" applyAlignment="1">
      <alignment horizontal="left"/>
    </xf>
    <xf numFmtId="1" fontId="16" fillId="0" borderId="1" xfId="16" applyNumberFormat="1" applyFont="1" applyFill="1" applyBorder="1"/>
    <xf numFmtId="0" fontId="16" fillId="0" borderId="1" xfId="16" applyFont="1" applyFill="1" applyBorder="1" applyAlignment="1"/>
    <xf numFmtId="0" fontId="16" fillId="0" borderId="1" xfId="16" applyFont="1" applyFill="1" applyBorder="1" applyAlignment="1" applyProtection="1">
      <alignment horizontal="left"/>
      <protection locked="0"/>
    </xf>
    <xf numFmtId="49" fontId="16" fillId="0" borderId="1" xfId="16" applyNumberFormat="1" applyFont="1" applyFill="1" applyBorder="1" applyAlignment="1">
      <alignment horizontal="left"/>
    </xf>
    <xf numFmtId="182" fontId="16" fillId="0" borderId="1" xfId="16" applyNumberFormat="1" applyFont="1" applyFill="1" applyBorder="1" applyAlignment="1" applyProtection="1">
      <alignment horizontal="right"/>
    </xf>
    <xf numFmtId="0" fontId="143" fillId="0" borderId="1" xfId="16" applyFont="1" applyFill="1" applyBorder="1" applyAlignment="1">
      <alignment horizontal="right"/>
    </xf>
    <xf numFmtId="49" fontId="16" fillId="0" borderId="1" xfId="16" applyNumberFormat="1" applyFont="1" applyFill="1" applyBorder="1" applyAlignment="1">
      <alignment horizontal="right"/>
    </xf>
    <xf numFmtId="49" fontId="16" fillId="0" borderId="0" xfId="16" applyNumberFormat="1" applyFont="1" applyFill="1" applyBorder="1" applyProtection="1">
      <protection locked="0"/>
    </xf>
    <xf numFmtId="31" fontId="16" fillId="0" borderId="1" xfId="16" applyNumberFormat="1" applyFont="1" applyFill="1" applyBorder="1" applyAlignment="1" applyProtection="1">
      <alignment horizontal="right"/>
      <protection locked="0"/>
    </xf>
    <xf numFmtId="0" fontId="16" fillId="0" borderId="1" xfId="16" applyFont="1" applyFill="1" applyBorder="1" applyAlignment="1" applyProtection="1">
      <protection locked="0"/>
    </xf>
    <xf numFmtId="197" fontId="16" fillId="0" borderId="1" xfId="16" applyNumberFormat="1" applyFont="1" applyFill="1" applyBorder="1" applyAlignment="1" applyProtection="1">
      <alignment horizontal="right"/>
      <protection locked="0"/>
    </xf>
    <xf numFmtId="197" fontId="16" fillId="0" borderId="1" xfId="16" applyNumberFormat="1" applyFont="1" applyFill="1" applyBorder="1" applyAlignment="1" applyProtection="1">
      <alignment horizontal="left"/>
      <protection locked="0"/>
    </xf>
    <xf numFmtId="0" fontId="16" fillId="0" borderId="1" xfId="16" applyFont="1" applyFill="1" applyBorder="1" applyAlignment="1" applyProtection="1">
      <alignment horizontal="center"/>
    </xf>
    <xf numFmtId="0" fontId="16" fillId="0" borderId="1" xfId="16" applyFont="1" applyFill="1" applyBorder="1" applyAlignment="1" applyProtection="1">
      <alignment horizontal="left"/>
    </xf>
    <xf numFmtId="0" fontId="136" fillId="0" borderId="1" xfId="16" applyFont="1" applyFill="1" applyBorder="1" applyAlignment="1" applyProtection="1">
      <alignment horizontal="center"/>
      <protection locked="0"/>
    </xf>
    <xf numFmtId="0" fontId="230" fillId="23" borderId="2" xfId="16" applyFont="1" applyFill="1" applyBorder="1" applyAlignment="1" applyProtection="1">
      <alignment horizontal="center"/>
      <protection locked="0"/>
    </xf>
    <xf numFmtId="0" fontId="168" fillId="23" borderId="1" xfId="16" applyFont="1" applyFill="1" applyBorder="1" applyAlignment="1" applyProtection="1">
      <alignment horizontal="center"/>
      <protection locked="0"/>
    </xf>
    <xf numFmtId="0" fontId="16" fillId="23" borderId="1" xfId="16" applyFont="1" applyFill="1" applyBorder="1" applyAlignment="1" applyProtection="1">
      <protection locked="0"/>
    </xf>
    <xf numFmtId="0" fontId="16" fillId="24" borderId="1" xfId="16" applyFont="1" applyFill="1" applyBorder="1" applyAlignment="1" applyProtection="1">
      <protection locked="0"/>
    </xf>
    <xf numFmtId="31" fontId="16" fillId="24" borderId="1" xfId="16" applyNumberFormat="1" applyFont="1" applyFill="1" applyBorder="1" applyAlignment="1" applyProtection="1">
      <protection locked="0"/>
    </xf>
    <xf numFmtId="179" fontId="16" fillId="24" borderId="1" xfId="16" applyNumberFormat="1" applyFont="1" applyFill="1" applyBorder="1" applyAlignment="1" applyProtection="1">
      <protection locked="0"/>
    </xf>
    <xf numFmtId="197" fontId="16" fillId="24" borderId="1" xfId="16" applyNumberFormat="1" applyFont="1" applyFill="1" applyBorder="1" applyAlignment="1" applyProtection="1">
      <protection locked="0"/>
    </xf>
    <xf numFmtId="49" fontId="16" fillId="24" borderId="1" xfId="16" applyNumberFormat="1" applyFont="1" applyFill="1" applyBorder="1" applyAlignment="1" applyProtection="1">
      <protection locked="0"/>
    </xf>
    <xf numFmtId="0" fontId="16" fillId="23" borderId="1" xfId="16" applyFont="1" applyFill="1" applyBorder="1" applyAlignment="1" applyProtection="1">
      <alignment horizontal="center"/>
      <protection locked="0"/>
    </xf>
    <xf numFmtId="31" fontId="16" fillId="23" borderId="1" xfId="16" applyNumberFormat="1" applyFont="1" applyFill="1" applyBorder="1" applyProtection="1">
      <protection locked="0"/>
    </xf>
    <xf numFmtId="0" fontId="224" fillId="23" borderId="1" xfId="16" applyFont="1" applyFill="1" applyBorder="1" applyProtection="1">
      <protection locked="0"/>
    </xf>
    <xf numFmtId="0" fontId="16" fillId="23" borderId="1" xfId="16" applyFont="1" applyFill="1" applyBorder="1" applyAlignment="1" applyProtection="1">
      <alignment horizontal="left"/>
      <protection locked="0"/>
    </xf>
    <xf numFmtId="0" fontId="224" fillId="23" borderId="1" xfId="16" applyFont="1" applyFill="1" applyBorder="1" applyAlignment="1" applyProtection="1">
      <alignment horizontal="left"/>
      <protection locked="0"/>
    </xf>
    <xf numFmtId="0" fontId="16" fillId="23" borderId="1" xfId="16" applyFont="1" applyFill="1" applyBorder="1" applyAlignment="1" applyProtection="1">
      <alignment horizontal="right"/>
      <protection locked="0"/>
    </xf>
    <xf numFmtId="182" fontId="16" fillId="23" borderId="1" xfId="16" applyNumberFormat="1" applyFont="1" applyFill="1" applyBorder="1" applyAlignment="1" applyProtection="1">
      <alignment horizontal="right"/>
      <protection locked="0"/>
    </xf>
    <xf numFmtId="0" fontId="16" fillId="23" borderId="1" xfId="16" applyFont="1" applyFill="1" applyBorder="1" applyProtection="1">
      <protection locked="0"/>
    </xf>
    <xf numFmtId="182" fontId="16" fillId="23" borderId="1" xfId="16" applyNumberFormat="1" applyFont="1" applyFill="1" applyBorder="1" applyAlignment="1" applyProtection="1">
      <alignment horizontal="left"/>
      <protection locked="0"/>
    </xf>
    <xf numFmtId="0" fontId="143" fillId="23" borderId="1" xfId="16" applyFont="1" applyFill="1" applyBorder="1" applyAlignment="1" applyProtection="1">
      <alignment horizontal="right"/>
      <protection locked="0"/>
    </xf>
    <xf numFmtId="49" fontId="16" fillId="23" borderId="1" xfId="16" applyNumberFormat="1" applyFont="1" applyFill="1" applyBorder="1" applyAlignment="1" applyProtection="1">
      <alignment horizontal="center"/>
      <protection locked="0"/>
    </xf>
    <xf numFmtId="49" fontId="16" fillId="23" borderId="1" xfId="16" applyNumberFormat="1" applyFont="1" applyFill="1" applyBorder="1" applyAlignment="1" applyProtection="1">
      <alignment horizontal="left"/>
      <protection locked="0"/>
    </xf>
    <xf numFmtId="0" fontId="135" fillId="27" borderId="19" xfId="0" applyNumberFormat="1" applyFont="1" applyFill="1" applyBorder="1" applyAlignment="1" applyProtection="1">
      <alignment horizontal="left" vertical="center" wrapText="1"/>
      <protection locked="0"/>
    </xf>
    <xf numFmtId="0" fontId="46" fillId="27" borderId="19" xfId="0" applyNumberFormat="1" applyFont="1" applyFill="1" applyBorder="1" applyAlignment="1" applyProtection="1">
      <alignment horizontal="left" vertical="center" wrapText="1"/>
      <protection locked="0"/>
    </xf>
    <xf numFmtId="0" fontId="16" fillId="6" borderId="1" xfId="8" applyFont="1" applyFill="1" applyBorder="1" applyAlignment="1">
      <alignment horizontal="left"/>
    </xf>
    <xf numFmtId="197" fontId="16" fillId="6" borderId="1" xfId="8" applyNumberFormat="1" applyFont="1" applyFill="1" applyBorder="1" applyAlignment="1"/>
    <xf numFmtId="179" fontId="16" fillId="6" borderId="1" xfId="8" applyNumberFormat="1" applyFont="1" applyFill="1" applyBorder="1" applyAlignment="1"/>
    <xf numFmtId="0" fontId="16" fillId="28" borderId="1" xfId="8" applyFont="1" applyFill="1" applyBorder="1" applyAlignment="1"/>
    <xf numFmtId="49" fontId="16" fillId="28" borderId="1" xfId="8" applyNumberFormat="1" applyFont="1" applyFill="1" applyBorder="1" applyAlignment="1"/>
    <xf numFmtId="44" fontId="16" fillId="28" borderId="1" xfId="18" applyFont="1" applyFill="1" applyBorder="1" applyAlignment="1">
      <alignment horizontal="left"/>
    </xf>
    <xf numFmtId="2" fontId="16" fillId="28" borderId="1" xfId="8" applyNumberFormat="1" applyFont="1" applyFill="1" applyBorder="1" applyAlignment="1"/>
    <xf numFmtId="0" fontId="16" fillId="28" borderId="1" xfId="8" applyFont="1" applyFill="1" applyBorder="1" applyAlignment="1">
      <alignment horizontal="left"/>
    </xf>
    <xf numFmtId="1" fontId="16" fillId="28" borderId="1" xfId="8" applyNumberFormat="1" applyFont="1" applyFill="1" applyBorder="1" applyAlignment="1">
      <alignment horizontal="center"/>
    </xf>
    <xf numFmtId="0" fontId="143" fillId="28" borderId="1" xfId="8" applyFont="1" applyFill="1" applyBorder="1" applyAlignment="1"/>
    <xf numFmtId="2" fontId="16" fillId="28" borderId="1" xfId="8" applyNumberFormat="1" applyFont="1" applyFill="1" applyBorder="1" applyAlignment="1">
      <alignment horizontal="right"/>
    </xf>
    <xf numFmtId="182" fontId="16" fillId="28" borderId="1" xfId="8" applyNumberFormat="1" applyFont="1" applyFill="1" applyBorder="1" applyAlignment="1"/>
    <xf numFmtId="9" fontId="16" fillId="28" borderId="1" xfId="8" applyNumberFormat="1" applyFont="1" applyFill="1" applyBorder="1" applyAlignment="1"/>
    <xf numFmtId="182" fontId="16" fillId="28" borderId="1" xfId="8" applyNumberFormat="1" applyFont="1" applyFill="1" applyBorder="1" applyAlignment="1">
      <alignment horizontal="right"/>
    </xf>
    <xf numFmtId="0" fontId="16" fillId="28" borderId="1" xfId="8" applyFont="1" applyFill="1" applyBorder="1" applyAlignment="1" applyProtection="1">
      <protection locked="0"/>
    </xf>
    <xf numFmtId="199" fontId="16" fillId="28" borderId="1" xfId="8" applyNumberFormat="1" applyFont="1" applyFill="1" applyBorder="1" applyAlignment="1"/>
    <xf numFmtId="0" fontId="16" fillId="28" borderId="1" xfId="8" applyFont="1" applyFill="1" applyBorder="1" applyAlignment="1">
      <alignment horizontal="center"/>
    </xf>
    <xf numFmtId="31" fontId="16" fillId="28" borderId="1" xfId="8" applyNumberFormat="1" applyFont="1" applyFill="1" applyBorder="1" applyAlignment="1"/>
    <xf numFmtId="196" fontId="16" fillId="28" borderId="1" xfId="8" applyNumberFormat="1" applyFont="1" applyFill="1" applyBorder="1" applyAlignment="1">
      <alignment horizontal="center"/>
    </xf>
    <xf numFmtId="49" fontId="16" fillId="28" borderId="1" xfId="8" applyNumberFormat="1" applyFont="1" applyFill="1" applyBorder="1" applyAlignment="1" applyProtection="1">
      <protection locked="0"/>
    </xf>
    <xf numFmtId="197" fontId="16" fillId="28" borderId="1" xfId="8" applyNumberFormat="1" applyFont="1" applyFill="1" applyBorder="1" applyAlignment="1" applyProtection="1">
      <protection locked="0"/>
    </xf>
    <xf numFmtId="179" fontId="16" fillId="28" borderId="1" xfId="8" applyNumberFormat="1" applyFont="1" applyFill="1" applyBorder="1" applyAlignment="1" applyProtection="1">
      <protection locked="0"/>
    </xf>
    <xf numFmtId="31" fontId="16" fillId="28" borderId="1" xfId="8" applyNumberFormat="1" applyFont="1" applyFill="1" applyBorder="1" applyAlignment="1" applyProtection="1">
      <protection locked="0"/>
    </xf>
    <xf numFmtId="184" fontId="16" fillId="28" borderId="1" xfId="8" applyNumberFormat="1" applyFont="1" applyFill="1" applyBorder="1" applyAlignment="1" applyProtection="1">
      <protection locked="0"/>
    </xf>
    <xf numFmtId="0" fontId="267" fillId="28" borderId="0" xfId="8" applyFont="1" applyFill="1" applyAlignment="1"/>
    <xf numFmtId="0" fontId="16" fillId="28" borderId="0" xfId="8" applyFont="1" applyFill="1" applyAlignment="1" applyProtection="1">
      <protection locked="0"/>
    </xf>
    <xf numFmtId="0" fontId="93" fillId="28" borderId="0" xfId="8" applyFill="1">
      <alignment vertical="center"/>
    </xf>
    <xf numFmtId="0" fontId="16" fillId="28" borderId="0" xfId="8" applyFont="1" applyFill="1" applyAlignment="1"/>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9" fillId="0" borderId="2" xfId="0" applyNumberFormat="1" applyFont="1" applyFill="1" applyBorder="1" applyAlignment="1" applyProtection="1">
      <alignment horizontal="center" vertical="center" wrapText="1"/>
      <protection locked="0"/>
    </xf>
    <xf numFmtId="49" fontId="259" fillId="0" borderId="51" xfId="0" applyNumberFormat="1" applyFont="1" applyFill="1" applyBorder="1" applyAlignment="1" applyProtection="1">
      <alignment horizontal="center" vertical="center" wrapText="1"/>
      <protection locked="0"/>
    </xf>
    <xf numFmtId="49" fontId="25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23">
    <cellStyle name="百分比" xfId="14" builtinId="5"/>
    <cellStyle name="百分比 2" xfId="15"/>
    <cellStyle name="百分比 2 2" xfId="20"/>
    <cellStyle name="常规" xfId="0" builtinId="0"/>
    <cellStyle name="常规 16" xfId="8"/>
    <cellStyle name="常规 2" xfId="1"/>
    <cellStyle name="常规 2 2" xfId="6"/>
    <cellStyle name="常规 2 2 2 2 3" xfId="21"/>
    <cellStyle name="常规 2 3" xfId="16"/>
    <cellStyle name="常规 3" xfId="2"/>
    <cellStyle name="常规 3 2" xfId="3"/>
    <cellStyle name="常规 4" xfId="4"/>
    <cellStyle name="常规 5" xfId="5"/>
    <cellStyle name="常规 6" xfId="9"/>
    <cellStyle name="常规 6 2" xfId="7"/>
    <cellStyle name="常规 6 2 2" xfId="11"/>
    <cellStyle name="常规 6 3" xfId="22"/>
    <cellStyle name="常规 7" xfId="10"/>
    <cellStyle name="常规 8" xfId="12"/>
    <cellStyle name="常规 9" xfId="13"/>
    <cellStyle name="货币 2" xfId="17"/>
    <cellStyle name="货币 2 2" xfId="19"/>
    <cellStyle name="货币 3" xfId="18"/>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a:extLst>
            <a:ext uri="{FF2B5EF4-FFF2-40B4-BE49-F238E27FC236}">
              <a16:creationId xmlns:a16="http://schemas.microsoft.com/office/drawing/2014/main" xmlns="" id="{0B0061A5-DFE5-4A96-908C-716E208C8165}"/>
            </a:ext>
          </a:extLst>
        </xdr:cNvPr>
        <xdr:cNvPicPr>
          <a:picLocks noChangeAspect="1"/>
        </xdr:cNvPicPr>
      </xdr:nvPicPr>
      <xdr:blipFill>
        <a:blip xmlns:r="http://schemas.openxmlformats.org/officeDocument/2006/relationships" r:embed="rId1"/>
        <a:stretch>
          <a:fillRect/>
        </a:stretch>
      </xdr:blipFill>
      <xdr:spPr>
        <a:xfrm>
          <a:off x="0" y="1784350"/>
          <a:ext cx="11476190" cy="72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334;&#23376;&#28286;-&#22522;&#20934;&#2232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96;&#20851;&#20108;&#26465;-2009.7.8-&#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row r="1">
          <cell r="B1" t="str">
            <v>估价方法</v>
          </cell>
          <cell r="C1" t="str">
            <v>土地级别</v>
          </cell>
          <cell r="G1" t="str">
            <v>法定最高年限</v>
          </cell>
          <cell r="H1" t="str">
            <v>地类判定</v>
          </cell>
          <cell r="K1" t="str">
            <v>居住社区成熟度</v>
          </cell>
          <cell r="L1" t="str">
            <v>商业繁华度</v>
          </cell>
          <cell r="M1" t="str">
            <v>办公集聚程度</v>
          </cell>
          <cell r="O1" t="str">
            <v>交通便捷度</v>
          </cell>
          <cell r="P1" t="str">
            <v>区域土地利用方向</v>
          </cell>
          <cell r="Q1" t="str">
            <v>公共配套设施</v>
          </cell>
          <cell r="R1" t="str">
            <v>基础设施水平</v>
          </cell>
          <cell r="S1" t="str">
            <v>环境质量</v>
          </cell>
          <cell r="T1" t="str">
            <v>临街状况</v>
          </cell>
          <cell r="V1" t="str">
            <v>单价内涵</v>
          </cell>
          <cell r="W1" t="str">
            <v>五等判定</v>
          </cell>
          <cell r="X1" t="str">
            <v>结构</v>
          </cell>
        </row>
        <row r="2">
          <cell r="B2" t="str">
            <v>2014基准地价</v>
          </cell>
          <cell r="C2" t="str">
            <v>一级</v>
          </cell>
          <cell r="G2">
            <v>40</v>
          </cell>
          <cell r="H2" t="str">
            <v>住宅/居住</v>
          </cell>
          <cell r="K2" t="str">
            <v>好</v>
          </cell>
          <cell r="L2" t="str">
            <v>好</v>
          </cell>
          <cell r="M2" t="str">
            <v>好</v>
          </cell>
          <cell r="O2" t="str">
            <v>好</v>
          </cell>
          <cell r="P2" t="str">
            <v>好</v>
          </cell>
          <cell r="Q2" t="str">
            <v>好</v>
          </cell>
          <cell r="R2" t="str">
            <v>七通</v>
          </cell>
          <cell r="S2" t="str">
            <v>好</v>
          </cell>
          <cell r="T2" t="str">
            <v>多面临街</v>
          </cell>
          <cell r="V2" t="str">
            <v>单位面积地价</v>
          </cell>
          <cell r="W2" t="str">
            <v>好</v>
          </cell>
          <cell r="X2" t="str">
            <v>钢</v>
          </cell>
        </row>
        <row r="3">
          <cell r="B3" t="str">
            <v>2002基准地价</v>
          </cell>
          <cell r="C3" t="str">
            <v>二级</v>
          </cell>
          <cell r="G3">
            <v>50</v>
          </cell>
          <cell r="H3" t="str">
            <v>商业</v>
          </cell>
          <cell r="K3" t="str">
            <v>较好</v>
          </cell>
          <cell r="L3" t="str">
            <v>较好</v>
          </cell>
          <cell r="M3" t="str">
            <v>较好</v>
          </cell>
          <cell r="O3" t="str">
            <v>较好</v>
          </cell>
          <cell r="P3" t="str">
            <v>较好</v>
          </cell>
          <cell r="Q3" t="str">
            <v>较好</v>
          </cell>
          <cell r="R3" t="str">
            <v>六通</v>
          </cell>
          <cell r="S3" t="str">
            <v>较好</v>
          </cell>
          <cell r="T3" t="str">
            <v>双面临街</v>
          </cell>
          <cell r="V3" t="str">
            <v>楼面地价</v>
          </cell>
          <cell r="W3" t="str">
            <v>较好</v>
          </cell>
          <cell r="X3" t="str">
            <v>钢混</v>
          </cell>
        </row>
        <row r="4">
          <cell r="B4" t="str">
            <v>1993基准地价</v>
          </cell>
          <cell r="C4" t="str">
            <v>三级</v>
          </cell>
          <cell r="G4">
            <v>70</v>
          </cell>
          <cell r="H4" t="str">
            <v>办公/综合</v>
          </cell>
          <cell r="K4" t="str">
            <v>一般</v>
          </cell>
          <cell r="L4" t="str">
            <v>一般</v>
          </cell>
          <cell r="M4" t="str">
            <v>一般</v>
          </cell>
          <cell r="O4" t="str">
            <v>一般</v>
          </cell>
          <cell r="P4" t="str">
            <v>一般</v>
          </cell>
          <cell r="Q4" t="str">
            <v>一般</v>
          </cell>
          <cell r="R4" t="str">
            <v>五通</v>
          </cell>
          <cell r="S4" t="str">
            <v>一般</v>
          </cell>
          <cell r="T4" t="str">
            <v>单面临街</v>
          </cell>
          <cell r="W4" t="str">
            <v>一般</v>
          </cell>
          <cell r="X4" t="str">
            <v>砖混</v>
          </cell>
        </row>
        <row r="5">
          <cell r="B5" t="str">
            <v>比较法</v>
          </cell>
          <cell r="C5" t="str">
            <v>四级</v>
          </cell>
          <cell r="H5" t="str">
            <v>工业</v>
          </cell>
          <cell r="K5" t="str">
            <v>较差</v>
          </cell>
          <cell r="L5" t="str">
            <v>较差</v>
          </cell>
          <cell r="M5" t="str">
            <v>较差</v>
          </cell>
          <cell r="O5" t="str">
            <v>较差</v>
          </cell>
          <cell r="P5" t="str">
            <v>较差</v>
          </cell>
          <cell r="Q5" t="str">
            <v>较差</v>
          </cell>
          <cell r="R5" t="str">
            <v>四通</v>
          </cell>
          <cell r="S5" t="str">
            <v>较差</v>
          </cell>
          <cell r="T5" t="str">
            <v>不临街</v>
          </cell>
          <cell r="W5" t="str">
            <v>较差</v>
          </cell>
          <cell r="X5" t="str">
            <v>砖木（一等）</v>
          </cell>
        </row>
        <row r="6">
          <cell r="B6" t="str">
            <v>*</v>
          </cell>
          <cell r="C6" t="str">
            <v>五级</v>
          </cell>
          <cell r="K6" t="str">
            <v>差</v>
          </cell>
          <cell r="L6" t="str">
            <v>差</v>
          </cell>
          <cell r="M6" t="str">
            <v>差</v>
          </cell>
          <cell r="O6" t="str">
            <v>差</v>
          </cell>
          <cell r="P6" t="str">
            <v>差</v>
          </cell>
          <cell r="Q6" t="str">
            <v>差</v>
          </cell>
          <cell r="R6" t="str">
            <v>三通</v>
          </cell>
          <cell r="S6" t="str">
            <v>差</v>
          </cell>
          <cell r="W6" t="str">
            <v>差</v>
          </cell>
          <cell r="X6" t="str">
            <v>砖木（二等）</v>
          </cell>
        </row>
        <row r="7">
          <cell r="B7" t="str">
            <v>*</v>
          </cell>
          <cell r="C7" t="str">
            <v>六级</v>
          </cell>
          <cell r="X7" t="str">
            <v>砖木（三等）</v>
          </cell>
        </row>
        <row r="8">
          <cell r="B8" t="str">
            <v>*</v>
          </cell>
          <cell r="C8" t="str">
            <v>七级</v>
          </cell>
          <cell r="X8" t="str">
            <v>简易</v>
          </cell>
        </row>
        <row r="9">
          <cell r="B9" t="str">
            <v>*</v>
          </cell>
          <cell r="C9" t="str">
            <v>八级</v>
          </cell>
        </row>
        <row r="10">
          <cell r="B10" t="str">
            <v>*</v>
          </cell>
          <cell r="C10" t="str">
            <v>九级</v>
          </cell>
        </row>
        <row r="11">
          <cell r="B11" t="str">
            <v>*</v>
          </cell>
          <cell r="C11" t="str">
            <v>十级</v>
          </cell>
        </row>
        <row r="12">
          <cell r="B12" t="str">
            <v>*</v>
          </cell>
          <cell r="C12" t="str">
            <v>十一级</v>
          </cell>
        </row>
        <row r="13">
          <cell r="B13" t="str">
            <v>*</v>
          </cell>
          <cell r="C13" t="str">
            <v>十二级</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sheetData>
      <sheetData sheetId="2"/>
      <sheetData sheetId="3"/>
      <sheetData sheetId="4"/>
      <sheetData sheetId="5"/>
      <sheetData sheetId="6">
        <row r="33">
          <cell r="B33" t="str">
            <v>地下第1层商业</v>
          </cell>
        </row>
        <row r="34">
          <cell r="B34" t="str">
            <v>地下第2层商业</v>
          </cell>
        </row>
        <row r="35">
          <cell r="B35" t="str">
            <v>地下第3层商业</v>
          </cell>
        </row>
        <row r="36">
          <cell r="B36" t="str">
            <v>地下第4层商业</v>
          </cell>
        </row>
        <row r="37">
          <cell r="B37" t="str">
            <v>地下办公</v>
          </cell>
        </row>
        <row r="38">
          <cell r="B38" t="str">
            <v>地下仓储</v>
          </cell>
        </row>
        <row r="39">
          <cell r="B39" t="str">
            <v>地下车库</v>
          </cell>
        </row>
      </sheetData>
      <sheetData sheetId="7"/>
      <sheetData sheetId="8"/>
      <sheetData sheetId="9">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10"/>
      <sheetData sheetId="11">
        <row r="18">
          <cell r="E18">
            <v>154634</v>
          </cell>
        </row>
      </sheetData>
      <sheetData sheetId="12"/>
      <sheetData sheetId="13"/>
      <sheetData sheetId="14"/>
      <sheetData sheetId="15"/>
      <sheetData sheetId="16">
        <row r="61">
          <cell r="A61" t="str">
            <v>交易情况</v>
          </cell>
          <cell r="C61" t="str">
            <v>正常</v>
          </cell>
        </row>
        <row r="63">
          <cell r="B63" t="str">
            <v>用途</v>
          </cell>
          <cell r="C63" t="str">
            <v>住宅/居住</v>
          </cell>
        </row>
        <row r="94">
          <cell r="B94" t="str">
            <v>毗邻道路的类型与等级</v>
          </cell>
          <cell r="C94" t="str">
            <v>高速路</v>
          </cell>
          <cell r="D94" t="str">
            <v>快速路</v>
          </cell>
          <cell r="E94" t="str">
            <v>主干道</v>
          </cell>
          <cell r="F94" t="str">
            <v>次干道</v>
          </cell>
          <cell r="G94" t="str">
            <v>支路</v>
          </cell>
        </row>
        <row r="96">
          <cell r="B96">
            <v>111</v>
          </cell>
          <cell r="C96">
            <v>111</v>
          </cell>
          <cell r="D96">
            <v>222</v>
          </cell>
          <cell r="E96">
            <v>333</v>
          </cell>
        </row>
        <row r="107">
          <cell r="B107" t="str">
            <v>宗地形状</v>
          </cell>
          <cell r="C107" t="str">
            <v>规则</v>
          </cell>
          <cell r="D107" t="str">
            <v>较规则</v>
          </cell>
          <cell r="E107" t="str">
            <v>较不规则</v>
          </cell>
          <cell r="F107" t="str">
            <v>不规则</v>
          </cell>
        </row>
        <row r="109">
          <cell r="B109" t="str">
            <v>临街宽度及深度</v>
          </cell>
          <cell r="C109" t="str">
            <v>比例适宜</v>
          </cell>
          <cell r="D109" t="str">
            <v>比例较适宜</v>
          </cell>
          <cell r="E109" t="str">
            <v>比较较不适宜</v>
          </cell>
        </row>
        <row r="111">
          <cell r="B111" t="str">
            <v>宗地内开发程度</v>
          </cell>
          <cell r="C111" t="str">
            <v>七通</v>
          </cell>
          <cell r="D111" t="str">
            <v>六通</v>
          </cell>
          <cell r="E111" t="str">
            <v>五通</v>
          </cell>
          <cell r="F111" t="str">
            <v>四通</v>
          </cell>
          <cell r="G111" t="str">
            <v>三通</v>
          </cell>
        </row>
        <row r="113">
          <cell r="B113" t="str">
            <v>工程地质条件</v>
          </cell>
          <cell r="C113" t="str">
            <v>好</v>
          </cell>
          <cell r="D113" t="str">
            <v>较好</v>
          </cell>
          <cell r="E113" t="str">
            <v>一般</v>
          </cell>
          <cell r="F113" t="str">
            <v>较差</v>
          </cell>
          <cell r="G113" t="str">
            <v>差</v>
          </cell>
        </row>
      </sheetData>
      <sheetData sheetId="17"/>
      <sheetData sheetId="18">
        <row r="4">
          <cell r="A4" t="str">
            <v>本行不参与计算</v>
          </cell>
        </row>
        <row r="6">
          <cell r="A6" t="str">
            <v>2020-4</v>
          </cell>
        </row>
        <row r="7">
          <cell r="A7" t="str">
            <v>2020-3</v>
          </cell>
        </row>
        <row r="8">
          <cell r="A8" t="str">
            <v>2020-2</v>
          </cell>
        </row>
        <row r="9">
          <cell r="A9" t="str">
            <v>2020-1</v>
          </cell>
        </row>
        <row r="10">
          <cell r="A10" t="str">
            <v>2019-4</v>
          </cell>
        </row>
        <row r="11">
          <cell r="A11" t="str">
            <v>2019-3</v>
          </cell>
        </row>
        <row r="12">
          <cell r="A12" t="str">
            <v>2019-2</v>
          </cell>
        </row>
        <row r="13">
          <cell r="A13" t="str">
            <v>2019-1</v>
          </cell>
        </row>
        <row r="14">
          <cell r="A14" t="str">
            <v>2018-4</v>
          </cell>
        </row>
        <row r="15">
          <cell r="A15" t="str">
            <v>2018-3</v>
          </cell>
        </row>
        <row r="16">
          <cell r="A16" t="str">
            <v>2018-2</v>
          </cell>
        </row>
        <row r="17">
          <cell r="A17" t="str">
            <v>2018-1</v>
          </cell>
        </row>
        <row r="18">
          <cell r="A18" t="str">
            <v>2017-4</v>
          </cell>
        </row>
        <row r="19">
          <cell r="A19" t="str">
            <v>2017-3</v>
          </cell>
        </row>
        <row r="20">
          <cell r="A20" t="str">
            <v>2017-2</v>
          </cell>
        </row>
        <row r="21">
          <cell r="A21" t="str">
            <v>2017-1</v>
          </cell>
        </row>
        <row r="22">
          <cell r="A22" t="str">
            <v>2016-4</v>
          </cell>
        </row>
        <row r="23">
          <cell r="A23" t="str">
            <v>2016-3</v>
          </cell>
        </row>
        <row r="24">
          <cell r="A24" t="str">
            <v>2016-2</v>
          </cell>
        </row>
        <row r="25">
          <cell r="A25" t="str">
            <v>2016-1</v>
          </cell>
        </row>
        <row r="26">
          <cell r="A26" t="str">
            <v>2015-4</v>
          </cell>
        </row>
        <row r="27">
          <cell r="A27" t="str">
            <v>2015-3</v>
          </cell>
        </row>
        <row r="28">
          <cell r="A28" t="str">
            <v>2015-2</v>
          </cell>
        </row>
        <row r="29">
          <cell r="A29" t="str">
            <v>2015-1</v>
          </cell>
        </row>
        <row r="30">
          <cell r="A30" t="str">
            <v>2014-4</v>
          </cell>
        </row>
        <row r="31">
          <cell r="A31" t="str">
            <v>2014-3</v>
          </cell>
        </row>
        <row r="32">
          <cell r="A32" t="str">
            <v>2014-2</v>
          </cell>
        </row>
        <row r="33">
          <cell r="A33" t="str">
            <v>2014-1</v>
          </cell>
        </row>
      </sheetData>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198475</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估价对象为北京市房地产，为XX所有。根据《》[]，估价对象建筑面积为64.19平方米。根据《》[]，估价对象（分摊）出让国有建设用地使用权面积为平方米。估价对象用途为。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2009年7月8日</v>
      </c>
    </row>
    <row r="10" spans="1:2">
      <c r="A10" s="1210" t="s">
        <v>1103</v>
      </c>
      <c r="B10" s="1197" t="str">
        <f>'预评函-1'!A13</f>
        <v>本次估价的“房地产价值”是指在正常市场情况下，在价值时点2009年7月8日，估价对象规划用途为，假定未设立法定优先受偿款下的房地产市场价值。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64.19</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8" t="s">
        <v>1527</v>
      </c>
      <c r="B1" s="2589" t="str">
        <f>IF(B6="北京市","北京市",C6)&amp;IF(E12="房屋所有权证",B29,E29)&amp;D5&amp;"预评估"</f>
        <v>北京市房地产市场价值预评估</v>
      </c>
      <c r="C1" s="823"/>
      <c r="D1" s="823"/>
      <c r="E1" s="823"/>
      <c r="F1" s="1426" t="s">
        <v>1528</v>
      </c>
      <c r="G1" s="1191"/>
      <c r="I1" s="2917" t="str">
        <f>IF(B6="北京市","北京市",C6)&amp;IF(E12="房屋所有权证",B29,E29)&amp;"房地产"</f>
        <v>北京市房地产</v>
      </c>
      <c r="J1" s="800"/>
      <c r="K1" s="2919"/>
      <c r="L1" s="2919"/>
      <c r="M1" s="2919"/>
      <c r="N1" s="800"/>
      <c r="O1" s="800"/>
      <c r="P1" s="800"/>
      <c r="Q1" s="800"/>
    </row>
    <row r="2" spans="1:17" ht="13.5" thickTop="1">
      <c r="A2" s="1427" t="s">
        <v>1529</v>
      </c>
      <c r="B2" s="2590"/>
      <c r="C2" s="2889" t="s">
        <v>1530</v>
      </c>
      <c r="D2" s="2590">
        <v>40002</v>
      </c>
      <c r="E2" s="824"/>
      <c r="F2" s="824"/>
      <c r="G2" s="1192"/>
      <c r="H2" s="2901"/>
    </row>
    <row r="3" spans="1:17" ht="13.5" thickBot="1">
      <c r="A3" s="2591" t="s">
        <v>1531</v>
      </c>
      <c r="B3" s="2592"/>
      <c r="C3" s="2593">
        <f>SUMIF(注册房地产估价师,B3,估价师及机构信息!B3:B16)</f>
        <v>0</v>
      </c>
      <c r="D3" s="2592"/>
      <c r="E3" s="2594">
        <f>SUMIF(注册房地产估价师,D3,估价师及机构信息!B3:B16)</f>
        <v>0</v>
      </c>
      <c r="F3" s="825"/>
      <c r="G3" s="1193"/>
      <c r="H3" s="2901"/>
    </row>
    <row r="4" spans="1:17" ht="13.5" customHeight="1" thickTop="1">
      <c r="A4" s="1427" t="s">
        <v>1532</v>
      </c>
      <c r="B4" s="1428" t="s">
        <v>2719</v>
      </c>
      <c r="C4" s="2890" t="s">
        <v>1533</v>
      </c>
      <c r="D4" s="1429" t="s">
        <v>2891</v>
      </c>
      <c r="E4" s="824"/>
      <c r="F4" s="824"/>
      <c r="G4" s="1192"/>
    </row>
    <row r="5" spans="1:17">
      <c r="A5" s="1430" t="s">
        <v>1534</v>
      </c>
      <c r="B5" s="1431" t="s">
        <v>2720</v>
      </c>
      <c r="C5" s="2891" t="s">
        <v>1535</v>
      </c>
      <c r="D5" s="1433" t="s">
        <v>2892</v>
      </c>
      <c r="E5" s="2892" t="s">
        <v>1536</v>
      </c>
      <c r="F5" s="1433"/>
      <c r="G5" s="1434"/>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1537</v>
      </c>
      <c r="B6" s="2595" t="s">
        <v>2890</v>
      </c>
      <c r="C6" s="2596" t="s">
        <v>2721</v>
      </c>
      <c r="D6" s="2597" t="s">
        <v>1538</v>
      </c>
      <c r="E6" s="811"/>
      <c r="F6" s="811"/>
      <c r="G6" s="830"/>
      <c r="I6" s="800" t="str">
        <f>IF(COUNTIF(B5,"*上海银行*"),"上海银行","")</f>
        <v/>
      </c>
      <c r="J6" s="800"/>
      <c r="K6" s="2919"/>
      <c r="L6" s="2919"/>
      <c r="M6" s="2919"/>
      <c r="N6" s="800"/>
      <c r="O6" s="800"/>
      <c r="P6" s="800"/>
      <c r="Q6" s="800"/>
    </row>
    <row r="7" spans="1:17" ht="13.5" thickBot="1">
      <c r="A7" s="2894" t="s">
        <v>1539</v>
      </c>
      <c r="B7" s="2598" t="s">
        <v>2893</v>
      </c>
      <c r="C7" s="1525" t="str">
        <f>IF(B7="自然人","姓名","名称")</f>
        <v>姓名</v>
      </c>
      <c r="D7" s="1438" t="s">
        <v>2720</v>
      </c>
      <c r="E7" s="825"/>
      <c r="F7" s="825"/>
      <c r="G7" s="1193"/>
    </row>
    <row r="8" spans="1:17" ht="13.5" thickTop="1">
      <c r="A8" s="3489" t="s">
        <v>1540</v>
      </c>
      <c r="B8" s="1439" t="s">
        <v>1541</v>
      </c>
      <c r="C8" s="3501"/>
      <c r="D8" s="3502"/>
      <c r="E8" s="2599" t="s">
        <v>1542</v>
      </c>
      <c r="F8" s="2600" t="s">
        <v>1543</v>
      </c>
      <c r="G8" s="2601" t="str">
        <f>C6</f>
        <v>XX</v>
      </c>
    </row>
    <row r="9" spans="1:17">
      <c r="A9" s="3489"/>
      <c r="B9" s="259" t="s">
        <v>1544</v>
      </c>
      <c r="C9" s="1431"/>
      <c r="D9" s="1440"/>
      <c r="E9" s="2895" t="s">
        <v>1545</v>
      </c>
      <c r="F9" s="2602"/>
      <c r="G9" s="2603"/>
    </row>
    <row r="10" spans="1:17" ht="13.5" thickBot="1">
      <c r="A10" s="3489"/>
      <c r="B10" s="259" t="s">
        <v>1546</v>
      </c>
      <c r="C10" s="3503"/>
      <c r="D10" s="3504"/>
      <c r="E10" s="2896" t="s">
        <v>1547</v>
      </c>
      <c r="F10" s="2604"/>
      <c r="G10" s="2605"/>
    </row>
    <row r="11" spans="1:17" ht="13.5" thickBot="1">
      <c r="A11" s="3489"/>
      <c r="B11" s="1442" t="s">
        <v>1548</v>
      </c>
      <c r="C11" s="3505"/>
      <c r="D11" s="3506"/>
      <c r="E11" s="811"/>
      <c r="F11" s="811"/>
      <c r="G11" s="830"/>
    </row>
    <row r="12" spans="1:17" ht="13.5" thickBot="1">
      <c r="A12" s="3492" t="s">
        <v>2828</v>
      </c>
      <c r="B12" s="2897" t="s">
        <v>1549</v>
      </c>
      <c r="C12" s="808">
        <v>64.19</v>
      </c>
      <c r="D12" s="1443" t="s">
        <v>1550</v>
      </c>
      <c r="E12" s="1444"/>
      <c r="F12" s="1445"/>
      <c r="G12" s="830"/>
    </row>
    <row r="13" spans="1:17" ht="21" customHeight="1" thickBot="1">
      <c r="A13" s="3493"/>
      <c r="B13" s="2898" t="s">
        <v>1551</v>
      </c>
      <c r="C13" s="809"/>
      <c r="D13" s="1446" t="s">
        <v>1552</v>
      </c>
      <c r="E13" s="1447"/>
      <c r="F13" s="811"/>
      <c r="G13" s="830"/>
      <c r="I13" s="3478" t="s">
        <v>1553</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6"/>
      <c r="B14" s="2912" t="s">
        <v>2829</v>
      </c>
      <c r="C14" s="2607"/>
      <c r="D14" s="811"/>
      <c r="E14" s="811"/>
      <c r="F14" s="811"/>
      <c r="G14" s="830"/>
      <c r="I14" s="3478"/>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8"/>
      <c r="B15" s="2899" t="s">
        <v>1554</v>
      </c>
      <c r="C15" s="826">
        <v>2</v>
      </c>
      <c r="D15" s="825"/>
      <c r="E15" s="825"/>
      <c r="F15" s="825"/>
      <c r="G15" s="1193"/>
      <c r="I15" s="3478"/>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6" t="s">
        <v>1555</v>
      </c>
      <c r="B16" s="1448" t="s">
        <v>1556</v>
      </c>
      <c r="C16" s="2609"/>
      <c r="D16" s="1441" t="s">
        <v>1557</v>
      </c>
      <c r="E16" s="2610"/>
      <c r="F16" s="1449" t="str">
        <f>IF(AND(C16="是",E16="否"),"是否提供他项权证或相关说明","")</f>
        <v/>
      </c>
      <c r="G16" s="2610"/>
      <c r="J16" s="2901"/>
    </row>
    <row r="17" spans="1:66" ht="13.5" customHeight="1">
      <c r="A17" s="1455" t="s">
        <v>1558</v>
      </c>
      <c r="B17" s="3507" t="s">
        <v>1559</v>
      </c>
      <c r="C17" s="3508"/>
      <c r="D17" s="3509" t="s">
        <v>1560</v>
      </c>
      <c r="E17" s="3510"/>
      <c r="F17" s="1450" t="s">
        <v>1561</v>
      </c>
      <c r="G17" s="1451"/>
      <c r="J17" s="2901"/>
    </row>
    <row r="18" spans="1:66" ht="24">
      <c r="A18" s="1455"/>
      <c r="B18" s="2611"/>
      <c r="C18" s="1434"/>
      <c r="D18" s="1452" t="s">
        <v>1562</v>
      </c>
      <c r="E18" s="1453"/>
      <c r="F18" s="1454"/>
      <c r="G18" s="1317"/>
      <c r="H18" s="2901"/>
      <c r="J18" s="2901"/>
    </row>
    <row r="19" spans="1:66" ht="21.75" customHeight="1" thickBot="1">
      <c r="A19" s="1455"/>
      <c r="B19" s="2612"/>
      <c r="C19" s="1447"/>
      <c r="D19" s="1455"/>
      <c r="E19" s="811"/>
      <c r="F19" s="811"/>
      <c r="G19" s="1317"/>
    </row>
    <row r="20" spans="1:66">
      <c r="A20" s="1451" t="s">
        <v>1563</v>
      </c>
      <c r="B20" s="2613" t="s">
        <v>1564</v>
      </c>
      <c r="C20" s="2614"/>
      <c r="D20" s="2615" t="s">
        <v>1564</v>
      </c>
      <c r="E20" s="2614"/>
      <c r="F20" s="811"/>
      <c r="G20" s="1317"/>
    </row>
    <row r="21" spans="1:66">
      <c r="A21" s="1317"/>
      <c r="B21" s="2616" t="s">
        <v>1565</v>
      </c>
      <c r="C21" s="2884"/>
      <c r="D21" s="1455" t="s">
        <v>1565</v>
      </c>
      <c r="E21" s="2617"/>
      <c r="F21" s="811"/>
      <c r="G21" s="1317"/>
    </row>
    <row r="22" spans="1:66">
      <c r="A22" s="1317"/>
      <c r="B22" s="811" t="s">
        <v>1566</v>
      </c>
      <c r="C22" s="2618"/>
      <c r="D22" s="811" t="s">
        <v>1566</v>
      </c>
      <c r="E22" s="2617"/>
      <c r="F22" s="811"/>
      <c r="G22" s="1317"/>
    </row>
    <row r="23" spans="1:66" s="2883" customFormat="1" ht="16.5" thickBot="1">
      <c r="A23" s="1318"/>
      <c r="B23" s="829" t="s">
        <v>1567</v>
      </c>
      <c r="C23" s="809"/>
      <c r="D23" s="829" t="s">
        <v>1568</v>
      </c>
      <c r="E23" s="2619"/>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488" t="s">
        <v>2827</v>
      </c>
      <c r="B24" s="3488"/>
      <c r="C24" s="3488"/>
      <c r="D24" s="3488"/>
      <c r="E24" s="3488"/>
      <c r="F24" s="3488"/>
      <c r="G24" s="3488"/>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1569</v>
      </c>
      <c r="B25" s="811"/>
      <c r="C25" s="811"/>
      <c r="D25" s="811"/>
      <c r="E25" s="811"/>
      <c r="F25" s="811"/>
      <c r="G25" s="1318"/>
      <c r="K25" s="2902"/>
    </row>
    <row r="26" spans="1:66" s="836" customFormat="1" ht="13.5" thickBot="1">
      <c r="A26" s="2620"/>
      <c r="B26" s="807" t="s">
        <v>1570</v>
      </c>
      <c r="C26" s="2620"/>
      <c r="D26" s="807"/>
      <c r="E26" s="2621" t="s">
        <v>1571</v>
      </c>
      <c r="F26" s="2620"/>
      <c r="G26" s="2622"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0"/>
      <c r="B27" s="2623"/>
      <c r="C27" s="2620"/>
      <c r="D27" s="807"/>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495" t="s">
        <v>1573</v>
      </c>
      <c r="D28" s="3496"/>
      <c r="E28" s="801"/>
      <c r="F28" s="803" t="s">
        <v>1573</v>
      </c>
      <c r="G28" s="801"/>
      <c r="K28" s="2902"/>
    </row>
    <row r="29" spans="1:66">
      <c r="A29" s="804" t="s">
        <v>1574</v>
      </c>
      <c r="B29" s="798"/>
      <c r="C29" s="3497" t="s">
        <v>1575</v>
      </c>
      <c r="D29" s="3498"/>
      <c r="E29" s="798"/>
      <c r="F29" s="804" t="s">
        <v>1575</v>
      </c>
      <c r="G29" s="798"/>
      <c r="K29" s="2902"/>
    </row>
    <row r="30" spans="1:66">
      <c r="A30" s="804" t="s">
        <v>1576</v>
      </c>
      <c r="B30" s="798"/>
      <c r="C30" s="3497" t="s">
        <v>1576</v>
      </c>
      <c r="D30" s="3498"/>
      <c r="E30" s="798"/>
      <c r="F30" s="804" t="s">
        <v>1577</v>
      </c>
      <c r="G30" s="798"/>
      <c r="K30" s="2902"/>
    </row>
    <row r="31" spans="1:66">
      <c r="A31" s="804" t="s">
        <v>1578</v>
      </c>
      <c r="B31" s="798"/>
      <c r="C31" s="3485" t="s">
        <v>1579</v>
      </c>
      <c r="D31" s="811"/>
      <c r="E31" s="2625" t="str">
        <f>E32&amp;" "&amp;E33&amp;" "&amp;E34&amp;" "&amp;E35</f>
        <v xml:space="preserve">   </v>
      </c>
      <c r="F31" s="804" t="s">
        <v>1580</v>
      </c>
      <c r="G31" s="798"/>
    </row>
    <row r="32" spans="1:66">
      <c r="A32" s="804" t="s">
        <v>1581</v>
      </c>
      <c r="B32" s="798"/>
      <c r="C32" s="3486"/>
      <c r="D32" s="259" t="s">
        <v>1582</v>
      </c>
      <c r="E32" s="798"/>
      <c r="F32" s="804" t="s">
        <v>1583</v>
      </c>
      <c r="G32" s="798"/>
    </row>
    <row r="33" spans="1:7" ht="24.75" thickBot="1">
      <c r="A33" s="805" t="s">
        <v>1584</v>
      </c>
      <c r="B33" s="802"/>
      <c r="C33" s="3486"/>
      <c r="D33" s="259" t="s">
        <v>1585</v>
      </c>
      <c r="E33" s="798"/>
      <c r="F33" s="804" t="s">
        <v>1586</v>
      </c>
      <c r="G33" s="798"/>
    </row>
    <row r="34" spans="1:7">
      <c r="A34" s="803" t="s">
        <v>1587</v>
      </c>
      <c r="B34" s="801"/>
      <c r="C34" s="3486"/>
      <c r="D34" s="259" t="s">
        <v>1588</v>
      </c>
      <c r="E34" s="798"/>
      <c r="F34" s="804" t="s">
        <v>1589</v>
      </c>
      <c r="G34" s="798"/>
    </row>
    <row r="35" spans="1:7" ht="13.5" thickBot="1">
      <c r="A35" s="804" t="s">
        <v>1590</v>
      </c>
      <c r="B35" s="798"/>
      <c r="C35" s="3487"/>
      <c r="D35" s="259" t="s">
        <v>1591</v>
      </c>
      <c r="E35" s="798"/>
      <c r="F35" s="805" t="s">
        <v>1592</v>
      </c>
      <c r="G35" s="2626"/>
    </row>
    <row r="36" spans="1:7">
      <c r="A36" s="804" t="s">
        <v>1549</v>
      </c>
      <c r="B36" s="798"/>
      <c r="C36" s="3497" t="s">
        <v>1593</v>
      </c>
      <c r="D36" s="3498"/>
      <c r="E36" s="798"/>
      <c r="F36" s="2627" t="s">
        <v>1594</v>
      </c>
      <c r="G36" s="801"/>
    </row>
    <row r="37" spans="1:7" ht="13.5" thickBot="1">
      <c r="A37" s="804" t="s">
        <v>1595</v>
      </c>
      <c r="B37" s="798"/>
      <c r="C37" s="3499" t="s">
        <v>1596</v>
      </c>
      <c r="D37" s="3500"/>
      <c r="E37" s="802"/>
      <c r="F37" s="1463" t="s">
        <v>1597</v>
      </c>
      <c r="G37" s="798"/>
    </row>
    <row r="38" spans="1:7" ht="13.5" thickBot="1">
      <c r="A38" s="804" t="s">
        <v>1598</v>
      </c>
      <c r="B38" s="798"/>
      <c r="C38" s="3483" t="s">
        <v>1599</v>
      </c>
      <c r="D38" s="1443" t="s">
        <v>1583</v>
      </c>
      <c r="E38" s="801"/>
      <c r="F38" s="805" t="s">
        <v>1600</v>
      </c>
      <c r="G38" s="802"/>
    </row>
    <row r="39" spans="1:7">
      <c r="A39" s="804" t="s">
        <v>1601</v>
      </c>
      <c r="B39" s="798"/>
      <c r="C39" s="3490"/>
      <c r="D39" s="259" t="s">
        <v>1590</v>
      </c>
      <c r="E39" s="798"/>
      <c r="F39" s="803" t="s">
        <v>1602</v>
      </c>
      <c r="G39" s="801"/>
    </row>
    <row r="40" spans="1:7">
      <c r="A40" s="804" t="s">
        <v>1603</v>
      </c>
      <c r="B40" s="798"/>
      <c r="C40" s="3490" t="s">
        <v>1604</v>
      </c>
      <c r="D40" s="259" t="s">
        <v>1549</v>
      </c>
      <c r="E40" s="798"/>
      <c r="F40" s="804" t="s">
        <v>1605</v>
      </c>
      <c r="G40" s="798"/>
    </row>
    <row r="41" spans="1:7" ht="24.75" customHeight="1" thickBot="1">
      <c r="A41" s="805" t="s">
        <v>1606</v>
      </c>
      <c r="B41" s="802"/>
      <c r="C41" s="3491"/>
      <c r="D41" s="1446" t="s">
        <v>1551</v>
      </c>
      <c r="E41" s="802"/>
      <c r="F41" s="805" t="s">
        <v>1607</v>
      </c>
      <c r="G41" s="802"/>
    </row>
    <row r="42" spans="1:7">
      <c r="A42" s="806" t="s">
        <v>1608</v>
      </c>
      <c r="B42" s="2628"/>
      <c r="C42" s="3479" t="s">
        <v>1608</v>
      </c>
      <c r="D42" s="3480"/>
      <c r="E42" s="2628"/>
      <c r="F42" s="803" t="s">
        <v>1609</v>
      </c>
      <c r="G42" s="2628"/>
    </row>
    <row r="43" spans="1:7">
      <c r="A43" s="821" t="s">
        <v>1610</v>
      </c>
      <c r="B43" s="2629"/>
      <c r="C43" s="1455"/>
      <c r="D43" s="2616"/>
      <c r="E43" s="2629"/>
      <c r="F43" s="821"/>
      <c r="G43" s="2629"/>
    </row>
    <row r="44" spans="1:7">
      <c r="A44" s="821" t="s">
        <v>1564</v>
      </c>
      <c r="B44" s="822"/>
      <c r="C44" s="1455"/>
      <c r="D44" s="1521" t="s">
        <v>1564</v>
      </c>
      <c r="E44" s="822"/>
      <c r="F44" s="821" t="s">
        <v>1564</v>
      </c>
      <c r="G44" s="822"/>
    </row>
    <row r="45" spans="1:7">
      <c r="A45" s="821" t="s">
        <v>1565</v>
      </c>
      <c r="B45" s="822"/>
      <c r="C45" s="1455"/>
      <c r="D45" s="2616" t="s">
        <v>1565</v>
      </c>
      <c r="E45" s="822"/>
      <c r="F45" s="821" t="s">
        <v>1565</v>
      </c>
      <c r="G45" s="822"/>
    </row>
    <row r="46" spans="1:7">
      <c r="A46" s="821" t="s">
        <v>1566</v>
      </c>
      <c r="B46" s="822"/>
      <c r="C46" s="1455"/>
      <c r="D46" s="2616" t="s">
        <v>1566</v>
      </c>
      <c r="E46" s="822"/>
      <c r="F46" s="821" t="s">
        <v>1566</v>
      </c>
      <c r="G46" s="822"/>
    </row>
    <row r="47" spans="1:7">
      <c r="A47" s="821" t="s">
        <v>1567</v>
      </c>
      <c r="B47" s="822"/>
      <c r="C47" s="1455"/>
      <c r="D47" s="2616" t="s">
        <v>1567</v>
      </c>
      <c r="E47" s="822"/>
      <c r="F47" s="821" t="s">
        <v>1567</v>
      </c>
      <c r="G47" s="822"/>
    </row>
    <row r="48" spans="1:7">
      <c r="A48" s="821"/>
      <c r="B48" s="822"/>
      <c r="C48" s="1455"/>
      <c r="D48" s="2616"/>
      <c r="E48" s="822"/>
      <c r="F48" s="821"/>
      <c r="G48" s="822"/>
    </row>
    <row r="49" spans="1:66" ht="13.5" thickBot="1">
      <c r="A49" s="805" t="s">
        <v>1611</v>
      </c>
      <c r="B49" s="802"/>
      <c r="C49" s="3481" t="s">
        <v>1611</v>
      </c>
      <c r="D49" s="3482"/>
      <c r="E49" s="820"/>
      <c r="F49" s="805" t="s">
        <v>1612</v>
      </c>
      <c r="G49" s="802"/>
    </row>
    <row r="50" spans="1:66">
      <c r="A50" s="804" t="s">
        <v>1613</v>
      </c>
      <c r="B50" s="819"/>
      <c r="C50" s="3483" t="s">
        <v>1614</v>
      </c>
      <c r="D50" s="3484"/>
      <c r="E50" s="2630"/>
      <c r="F50" s="837"/>
      <c r="G50" s="838"/>
    </row>
    <row r="51" spans="1:66" ht="13.5" thickBot="1">
      <c r="A51" s="804" t="s">
        <v>1615</v>
      </c>
      <c r="B51" s="819"/>
      <c r="C51" s="3491" t="s">
        <v>1616</v>
      </c>
      <c r="D51" s="3494"/>
      <c r="E51" s="802"/>
      <c r="F51" s="811"/>
      <c r="G51" s="830"/>
    </row>
    <row r="52" spans="1:66">
      <c r="A52" s="804" t="s">
        <v>1594</v>
      </c>
      <c r="B52" s="798"/>
      <c r="C52" s="811"/>
      <c r="D52" s="811"/>
      <c r="E52" s="811"/>
      <c r="F52" s="811"/>
      <c r="G52" s="830"/>
    </row>
    <row r="53" spans="1:66" ht="24.75" thickBot="1">
      <c r="A53" s="805" t="s">
        <v>1617</v>
      </c>
      <c r="B53" s="2626"/>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511" t="s">
        <v>0</v>
      </c>
      <c r="B1" s="3511" t="s">
        <v>2</v>
      </c>
      <c r="C1" s="3511" t="s">
        <v>3</v>
      </c>
      <c r="D1" s="3512" t="s">
        <v>67</v>
      </c>
      <c r="E1" s="3512" t="s">
        <v>68</v>
      </c>
      <c r="F1" s="3512"/>
      <c r="G1" s="3512"/>
      <c r="H1" s="3512"/>
      <c r="I1" s="3512"/>
      <c r="J1" s="3512"/>
      <c r="K1" s="3512"/>
      <c r="L1" s="3512"/>
      <c r="M1" s="3512"/>
    </row>
    <row r="2" spans="1:13" ht="27" customHeight="1">
      <c r="A2" s="3511"/>
      <c r="B2" s="3511"/>
      <c r="C2" s="3511"/>
      <c r="D2" s="3512"/>
      <c r="E2" s="3512" t="s">
        <v>51</v>
      </c>
      <c r="F2" s="3512" t="s">
        <v>52</v>
      </c>
      <c r="G2" s="3512"/>
      <c r="H2" s="3512"/>
      <c r="I2" s="3512"/>
      <c r="J2" s="3512" t="s">
        <v>53</v>
      </c>
      <c r="K2" s="3512"/>
      <c r="L2" s="3512"/>
      <c r="M2" s="3512"/>
    </row>
    <row r="3" spans="1:13" ht="28.5">
      <c r="A3" s="3511"/>
      <c r="B3" s="3511"/>
      <c r="C3" s="3511"/>
      <c r="D3" s="3512"/>
      <c r="E3" s="351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512" t="s">
        <v>69</v>
      </c>
      <c r="B9" s="3512"/>
      <c r="C9" s="35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H28" sqref="H28"/>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1618</v>
      </c>
      <c r="B1" s="947"/>
      <c r="D1" s="2631"/>
      <c r="E1" s="2631"/>
    </row>
    <row r="2" spans="1:41" s="2635" customFormat="1" ht="15.75" thickBot="1">
      <c r="A2" s="2921" t="s">
        <v>1619</v>
      </c>
      <c r="B2" s="2922">
        <f>项目基本情况!D2</f>
        <v>40002</v>
      </c>
      <c r="C2" s="1685"/>
      <c r="D2" s="3513" t="s">
        <v>1620</v>
      </c>
      <c r="E2" s="2633"/>
      <c r="F2" s="2634"/>
      <c r="G2" s="2967"/>
      <c r="H2" s="2967"/>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5" customFormat="1" ht="15" customHeight="1" thickBot="1">
      <c r="A3" s="2638" t="s">
        <v>1621</v>
      </c>
      <c r="B3" s="2636" t="s">
        <v>2894</v>
      </c>
      <c r="C3" s="1685"/>
      <c r="D3" s="3514"/>
      <c r="E3" s="2637"/>
      <c r="F3" s="2634"/>
      <c r="G3" s="2967"/>
      <c r="H3" s="2967"/>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5" customFormat="1" ht="15" thickBot="1">
      <c r="A4" s="2641" t="s">
        <v>1622</v>
      </c>
      <c r="B4" s="2636" t="s">
        <v>2895</v>
      </c>
      <c r="C4" s="1685"/>
      <c r="D4" s="3514"/>
      <c r="E4" s="2637"/>
      <c r="F4" s="2634"/>
      <c r="G4" s="2967"/>
      <c r="H4" s="2967"/>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5" customFormat="1" ht="15.75" thickBot="1">
      <c r="A5" s="2638" t="s">
        <v>1623</v>
      </c>
      <c r="B5" s="2639">
        <f>项目基本情况!C12</f>
        <v>64.19</v>
      </c>
      <c r="C5" s="1685"/>
      <c r="D5" s="2923" t="s">
        <v>1624</v>
      </c>
      <c r="E5" s="2640"/>
      <c r="F5" s="2634"/>
      <c r="G5" s="2967"/>
      <c r="H5" s="2967"/>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5" customFormat="1" ht="15.75" thickBot="1">
      <c r="A6" s="2641" t="s">
        <v>1625</v>
      </c>
      <c r="B6" s="2642">
        <f>项目基本情况!C13</f>
        <v>0</v>
      </c>
      <c r="C6" s="1685"/>
      <c r="D6" s="2923" t="s">
        <v>1626</v>
      </c>
      <c r="E6" s="2640"/>
      <c r="F6" s="2634"/>
      <c r="G6" s="2967"/>
      <c r="H6" s="2967"/>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9"/>
      <c r="D7" s="2970"/>
      <c r="E7" s="2970"/>
      <c r="F7" s="2967"/>
      <c r="G7" s="2967"/>
      <c r="H7" s="2967"/>
    </row>
    <row r="8" spans="1:41" s="1685" customFormat="1" ht="15" hidden="1">
      <c r="A8" s="2969"/>
      <c r="D8" s="2970"/>
      <c r="E8" s="2970"/>
      <c r="F8" s="2967"/>
      <c r="G8" s="2967"/>
      <c r="H8" s="2967"/>
    </row>
    <row r="9" spans="1:41" s="1685" customFormat="1" ht="15" hidden="1" thickBot="1">
      <c r="C9" s="3089"/>
      <c r="D9" s="2967"/>
      <c r="E9" s="2967"/>
      <c r="F9" s="2967"/>
      <c r="G9" s="2967"/>
      <c r="H9" s="2967"/>
    </row>
    <row r="10" spans="1:41" s="2635" customFormat="1" ht="15" thickBot="1">
      <c r="A10" s="2924" t="s">
        <v>1627</v>
      </c>
      <c r="B10" s="2644" t="s">
        <v>2886</v>
      </c>
      <c r="C10" s="1685"/>
      <c r="D10" s="2921" t="s">
        <v>1628</v>
      </c>
      <c r="E10" s="2925" t="s">
        <v>1629</v>
      </c>
      <c r="F10" s="3090"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8" customFormat="1" ht="14.25">
      <c r="A11" s="2926" t="s">
        <v>1630</v>
      </c>
      <c r="B11" s="2646">
        <v>70</v>
      </c>
      <c r="C11" s="1685"/>
      <c r="D11" s="2927" t="s">
        <v>1631</v>
      </c>
      <c r="E11" s="2647">
        <v>160</v>
      </c>
      <c r="F11" s="1312" t="s">
        <v>1632</v>
      </c>
      <c r="G11" s="1685"/>
      <c r="H11" s="1685"/>
      <c r="I11" s="1685"/>
      <c r="J11" s="1685"/>
      <c r="K11" s="1685"/>
      <c r="L11" s="2709"/>
      <c r="M11" s="2709"/>
      <c r="N11" s="2709"/>
      <c r="O11" s="2709"/>
      <c r="P11" s="2709"/>
      <c r="Q11" s="2709"/>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5" customFormat="1" ht="15">
      <c r="A12" s="2928" t="s">
        <v>1633</v>
      </c>
      <c r="B12" s="2649">
        <v>65568</v>
      </c>
      <c r="C12" s="1685"/>
      <c r="D12" s="2928" t="s">
        <v>1634</v>
      </c>
      <c r="E12" s="2650">
        <v>190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5" customFormat="1" ht="15" thickBot="1">
      <c r="A13" s="2929" t="s">
        <v>1635</v>
      </c>
      <c r="B13" s="2930">
        <f>IF(B12="",B11-(YEAR($B$2)-B27+B24),ROUNDDOWN(MIN((B12-$B$2)/365,B11),2))</f>
        <v>70</v>
      </c>
      <c r="C13" s="2965"/>
      <c r="D13" s="2931" t="s">
        <v>1636</v>
      </c>
      <c r="E13" s="2651">
        <f>ROUND(E11*B5,0)</f>
        <v>10270</v>
      </c>
      <c r="F13" s="1310" t="s">
        <v>1637</v>
      </c>
      <c r="G13" s="1685"/>
      <c r="H13" s="3515" t="s">
        <v>2897</v>
      </c>
      <c r="I13" s="3516"/>
      <c r="J13" s="3155"/>
      <c r="K13" s="3156"/>
      <c r="L13" s="3156"/>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5" customFormat="1" ht="24">
      <c r="A14" s="2928" t="s">
        <v>1638</v>
      </c>
      <c r="B14" s="2932">
        <f>IF(ISERROR(ROUND(POWER(1+B15,B11-B13)*(POWER(1+B15,B13)-1)/(POWER(1+B15,B11)-1),3)),0,ROUND(POWER(1+B15,B11-B13)*(POWER(1+B15,B13)-1)/(POWER(1+B15,B11)-1),3))</f>
        <v>1</v>
      </c>
      <c r="C14" s="1685"/>
      <c r="D14" s="2933" t="s">
        <v>1639</v>
      </c>
      <c r="E14" s="2652">
        <v>200</v>
      </c>
      <c r="F14" s="1311"/>
      <c r="G14" s="1685"/>
      <c r="H14" s="3157" t="s">
        <v>2898</v>
      </c>
      <c r="I14" s="3158">
        <v>0.02</v>
      </c>
      <c r="J14" s="3155"/>
      <c r="K14" s="3159"/>
      <c r="L14" s="3159"/>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5" customFormat="1" ht="24">
      <c r="A15" s="2928" t="s">
        <v>1640</v>
      </c>
      <c r="B15" s="2653">
        <v>0.04</v>
      </c>
      <c r="C15" s="2561" t="s">
        <v>2839</v>
      </c>
      <c r="D15" s="2928" t="s">
        <v>1641</v>
      </c>
      <c r="E15" s="2934">
        <f>E14-E16</f>
        <v>200</v>
      </c>
      <c r="F15" s="1311"/>
      <c r="G15" s="1685"/>
      <c r="H15" s="3157" t="s">
        <v>2899</v>
      </c>
      <c r="I15" s="3171">
        <f>2009-B27</f>
        <v>22</v>
      </c>
      <c r="J15" s="3155"/>
      <c r="K15" s="3159"/>
      <c r="L15" s="3161"/>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5" customFormat="1" ht="24.75" thickBot="1">
      <c r="A16" s="2928" t="s">
        <v>1642</v>
      </c>
      <c r="B16" s="2653">
        <v>0.05</v>
      </c>
      <c r="C16" s="2561" t="s">
        <v>2840</v>
      </c>
      <c r="D16" s="2935" t="s">
        <v>1643</v>
      </c>
      <c r="E16" s="2654"/>
      <c r="F16" s="1310"/>
      <c r="G16" s="1685"/>
      <c r="H16" s="3157" t="s">
        <v>2900</v>
      </c>
      <c r="I16" s="3160" t="s">
        <v>3116</v>
      </c>
      <c r="J16" s="3155"/>
      <c r="K16" s="3159"/>
      <c r="L16" s="3159"/>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5" customFormat="1" ht="15" thickBot="1">
      <c r="A17" s="2935" t="s">
        <v>2837</v>
      </c>
      <c r="B17" s="3088">
        <v>7.0000000000000007E-2</v>
      </c>
      <c r="C17" s="2561" t="s">
        <v>2841</v>
      </c>
      <c r="D17" s="2924" t="s">
        <v>1645</v>
      </c>
      <c r="E17" s="2655">
        <v>2000</v>
      </c>
      <c r="F17" s="947"/>
      <c r="G17" s="1685"/>
      <c r="H17" s="3157" t="s">
        <v>2901</v>
      </c>
      <c r="I17" s="3162">
        <f>ROUND(1-(1-I14)*I15/I16,2)</f>
        <v>0.56999999999999995</v>
      </c>
      <c r="J17" s="3155"/>
      <c r="K17" s="3159"/>
      <c r="L17" s="3159"/>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5" customFormat="1" ht="15" thickBot="1">
      <c r="A18" s="2936" t="s">
        <v>1644</v>
      </c>
      <c r="B18" s="3096">
        <v>6.5000000000000002E-2</v>
      </c>
      <c r="C18" s="1685"/>
      <c r="D18" s="2937" t="str">
        <f>IF(B26=0,"建安总额","在建建安")</f>
        <v>建安总额</v>
      </c>
      <c r="E18" s="2938">
        <f>ROUND(B5*E17*IF(B26=0,1,E20),0)</f>
        <v>128380</v>
      </c>
      <c r="F18" s="2656">
        <f>ROUND(E5*E17*IF(B26=0,1,E20),0)</f>
        <v>0</v>
      </c>
      <c r="G18" s="1685"/>
      <c r="H18" s="3163" t="s">
        <v>2902</v>
      </c>
      <c r="I18" s="3164">
        <v>0.5</v>
      </c>
      <c r="J18" s="3155"/>
      <c r="K18" s="3159"/>
      <c r="L18" s="3159"/>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5" customFormat="1" ht="15" thickBot="1">
      <c r="A19" s="1311"/>
      <c r="B19" s="1311"/>
      <c r="C19" s="1685"/>
      <c r="D19" s="2937" t="str">
        <f>IF(B26=0,"——","续建建安")</f>
        <v>——</v>
      </c>
      <c r="E19" s="2938" t="str">
        <f>IF(B26=0,"——",ROUND(B5*E17*(1-E20),0))</f>
        <v>——</v>
      </c>
      <c r="F19" s="2656" t="str">
        <f>IF(B26=0,"——",ROUND(E5*E17*(1-E20),0))</f>
        <v>——</v>
      </c>
      <c r="G19" s="1685"/>
      <c r="H19" s="3517" t="s">
        <v>2903</v>
      </c>
      <c r="I19" s="3518"/>
      <c r="J19" s="3518"/>
      <c r="K19" s="3518"/>
      <c r="L19" s="3519"/>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5" customFormat="1" ht="15" thickBot="1">
      <c r="A20" s="2939" t="s">
        <v>1646</v>
      </c>
      <c r="B20" s="1311"/>
      <c r="C20" s="1685"/>
      <c r="D20" s="2941" t="str">
        <f>IF(B26=0,"成新率","工程进度")</f>
        <v>成新率</v>
      </c>
      <c r="E20" s="2658">
        <v>0.79</v>
      </c>
      <c r="F20" s="947"/>
      <c r="G20" s="1685"/>
      <c r="H20" s="3165" t="s">
        <v>2904</v>
      </c>
      <c r="I20" s="3166" t="s">
        <v>2905</v>
      </c>
      <c r="J20" s="3166" t="s">
        <v>2906</v>
      </c>
      <c r="K20" s="3166" t="s">
        <v>2907</v>
      </c>
      <c r="L20" s="3166" t="s">
        <v>2908</v>
      </c>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5" customFormat="1" ht="14.25">
      <c r="A21" s="2940" t="s">
        <v>1647</v>
      </c>
      <c r="B21" s="2657">
        <v>0</v>
      </c>
      <c r="C21" s="1685"/>
      <c r="D21" s="2928" t="s">
        <v>1649</v>
      </c>
      <c r="E21" s="2660">
        <v>0.03</v>
      </c>
      <c r="F21" s="2671" t="s">
        <v>2847</v>
      </c>
      <c r="G21" s="1685"/>
      <c r="H21" s="3165" t="s">
        <v>2909</v>
      </c>
      <c r="I21" s="3166">
        <v>100</v>
      </c>
      <c r="J21" s="3166" t="s">
        <v>2910</v>
      </c>
      <c r="K21" s="3166">
        <v>95</v>
      </c>
      <c r="L21" s="3167">
        <v>0.3</v>
      </c>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5" customFormat="1" ht="14.25">
      <c r="A22" s="2942" t="s">
        <v>1648</v>
      </c>
      <c r="B22" s="2659">
        <v>1</v>
      </c>
      <c r="C22" s="1685"/>
      <c r="D22" s="2928" t="s">
        <v>1651</v>
      </c>
      <c r="E22" s="2663">
        <v>0.03</v>
      </c>
      <c r="F22" s="2671" t="s">
        <v>2845</v>
      </c>
      <c r="G22" s="1685"/>
      <c r="H22" s="3165" t="s">
        <v>2911</v>
      </c>
      <c r="I22" s="3166">
        <v>100</v>
      </c>
      <c r="J22" s="3166" t="s">
        <v>2910</v>
      </c>
      <c r="K22" s="3166">
        <v>95</v>
      </c>
      <c r="L22" s="3167">
        <v>0.5</v>
      </c>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5" customFormat="1" ht="14.25">
      <c r="A23" s="2943" t="s">
        <v>1650</v>
      </c>
      <c r="B23" s="2662">
        <v>1</v>
      </c>
      <c r="C23" s="1685"/>
      <c r="D23" s="2928" t="s">
        <v>1653</v>
      </c>
      <c r="E23" s="2650">
        <v>200</v>
      </c>
      <c r="F23" s="2671"/>
      <c r="G23" s="1685"/>
      <c r="H23" s="3165" t="s">
        <v>2912</v>
      </c>
      <c r="I23" s="3166">
        <v>100</v>
      </c>
      <c r="J23" s="3166" t="s">
        <v>2910</v>
      </c>
      <c r="K23" s="3166">
        <v>95</v>
      </c>
      <c r="L23" s="3167">
        <f>1-L21-L22</f>
        <v>0.19999999999999996</v>
      </c>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5" customFormat="1" ht="15" thickBot="1">
      <c r="A24" s="2944" t="s">
        <v>1652</v>
      </c>
      <c r="B24" s="2945">
        <f>B21+B22</f>
        <v>1</v>
      </c>
      <c r="C24" s="1685"/>
      <c r="D24" s="2935" t="s">
        <v>1655</v>
      </c>
      <c r="E24" s="2664">
        <v>1.4999999999999999E-2</v>
      </c>
      <c r="F24" s="2671" t="s">
        <v>2848</v>
      </c>
      <c r="G24" s="1685"/>
      <c r="H24" s="3168" t="s">
        <v>2913</v>
      </c>
      <c r="I24" s="3169">
        <f>1-I18</f>
        <v>0.5</v>
      </c>
      <c r="J24" s="3166" t="s">
        <v>2901</v>
      </c>
      <c r="K24" s="3170">
        <f>ROUND((K21*L21+K22*L22+K23*L23)/100,2)</f>
        <v>0.95</v>
      </c>
      <c r="L24" s="3172">
        <f>ROUND(I17*I18+K24*I24,4)</f>
        <v>0.76</v>
      </c>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6" t="s">
        <v>1654</v>
      </c>
      <c r="B25" s="2947">
        <f>B21+B23</f>
        <v>1</v>
      </c>
      <c r="C25" s="1685"/>
      <c r="D25" s="2927" t="s">
        <v>1657</v>
      </c>
      <c r="E25" s="2660">
        <v>1.4999999999999999E-2</v>
      </c>
      <c r="F25" s="2671" t="s">
        <v>2846</v>
      </c>
      <c r="I25" s="2966"/>
    </row>
    <row r="26" spans="1:41" ht="15" thickBot="1">
      <c r="A26" s="2944" t="s">
        <v>1656</v>
      </c>
      <c r="B26" s="2948">
        <f>B22-B23</f>
        <v>0</v>
      </c>
      <c r="D26" s="2928" t="s">
        <v>1659</v>
      </c>
      <c r="E26" s="2663">
        <v>1.4999999999999999E-2</v>
      </c>
      <c r="F26" s="2671" t="s">
        <v>2846</v>
      </c>
      <c r="G26" s="2967">
        <f>1-(1-2%)*(2009-1987)/50</f>
        <v>0.56879999999999997</v>
      </c>
      <c r="H26" s="2967"/>
      <c r="I26" s="1685"/>
      <c r="J26" s="1685"/>
      <c r="K26" s="1685"/>
      <c r="L26" s="1685"/>
      <c r="M26" s="1685"/>
      <c r="N26" s="1685"/>
    </row>
    <row r="27" spans="1:41" ht="15.75" thickBot="1">
      <c r="A27" s="2949" t="s">
        <v>1658</v>
      </c>
      <c r="B27" s="2665">
        <v>1987</v>
      </c>
      <c r="C27" s="1685"/>
      <c r="D27" s="3153" t="s">
        <v>3117</v>
      </c>
      <c r="E27" s="2950">
        <f ca="1">IF(D27="利息：取LPR",存贷款利率!G1,存贷款利率!G1+F27)</f>
        <v>5.8099999999999992E-2</v>
      </c>
      <c r="F27" s="3154">
        <v>5.0000000000000001E-3</v>
      </c>
      <c r="G27" s="2967">
        <v>0.85</v>
      </c>
      <c r="H27" s="2967">
        <f>G26*0.2+G27*0.8</f>
        <v>0.79376000000000002</v>
      </c>
      <c r="K27" s="1685"/>
      <c r="N27" s="1685"/>
    </row>
    <row r="28" spans="1:41" ht="15" thickBot="1">
      <c r="A28" s="947"/>
      <c r="B28" s="947"/>
      <c r="D28" s="2931" t="s">
        <v>1661</v>
      </c>
      <c r="E28" s="2667">
        <v>0.08</v>
      </c>
      <c r="G28" s="2967"/>
      <c r="H28" s="2967"/>
      <c r="K28" s="1685"/>
      <c r="N28" s="1685"/>
    </row>
    <row r="29" spans="1:41" ht="14.25">
      <c r="A29" s="2951" t="s">
        <v>1660</v>
      </c>
      <c r="B29" s="2666" t="s">
        <v>3708</v>
      </c>
      <c r="D29" s="2933" t="s">
        <v>1662</v>
      </c>
      <c r="E29" s="2952">
        <f>E30+E31</f>
        <v>5.5000000000000007E-2</v>
      </c>
      <c r="F29" s="1310"/>
      <c r="G29" s="2967"/>
      <c r="H29" s="2967"/>
      <c r="K29" s="1685"/>
      <c r="N29" s="1685"/>
    </row>
    <row r="30" spans="1:41" ht="14.25">
      <c r="A30" s="2928" t="str">
        <f>IF(B29="租赁期内按合同租金","合同租金","市场租金")</f>
        <v>市场租金</v>
      </c>
      <c r="B30" s="2668"/>
      <c r="D30" s="2935" t="s">
        <v>1664</v>
      </c>
      <c r="E30" s="2669">
        <v>0.05</v>
      </c>
      <c r="F30" s="2954">
        <f>IF(B2&lt;DATE(2016,5,1),0,E30)</f>
        <v>0</v>
      </c>
      <c r="G30" s="2967"/>
      <c r="H30" s="2967"/>
      <c r="K30" s="1685"/>
      <c r="N30" s="1685"/>
    </row>
    <row r="31" spans="1:41" ht="14.25">
      <c r="A31" s="2928" t="s">
        <v>1663</v>
      </c>
      <c r="B31" s="2953">
        <f ca="1">存贷款利率!I1</f>
        <v>2.2499999999999999E-2</v>
      </c>
      <c r="D31" s="2935" t="s">
        <v>1666</v>
      </c>
      <c r="E31" s="2955">
        <f>E30*(E32+E33+E34)+E35</f>
        <v>5.000000000000001E-3</v>
      </c>
      <c r="F31" s="1310"/>
      <c r="G31" s="2967"/>
      <c r="H31" s="2967"/>
      <c r="K31" s="1685"/>
      <c r="N31" s="1685"/>
    </row>
    <row r="32" spans="1:41" ht="14.25">
      <c r="A32" s="2928" t="s">
        <v>1665</v>
      </c>
      <c r="B32" s="2653">
        <v>0.03</v>
      </c>
      <c r="D32" s="2935" t="s">
        <v>1668</v>
      </c>
      <c r="E32" s="2670">
        <v>0.05</v>
      </c>
      <c r="F32" s="2671" t="s">
        <v>2732</v>
      </c>
      <c r="G32" s="2967"/>
      <c r="H32" s="2967"/>
      <c r="K32" s="1685"/>
      <c r="L32" s="1685"/>
      <c r="M32" s="1685"/>
      <c r="N32" s="1685"/>
    </row>
    <row r="33" spans="1:14" ht="14.25">
      <c r="A33" s="2928" t="s">
        <v>1667</v>
      </c>
      <c r="B33" s="2653">
        <v>0.05</v>
      </c>
      <c r="D33" s="2935" t="s">
        <v>1670</v>
      </c>
      <c r="E33" s="2669">
        <v>0.03</v>
      </c>
      <c r="F33" s="1309" t="s">
        <v>1671</v>
      </c>
      <c r="G33" s="2967"/>
      <c r="H33" s="2967"/>
      <c r="K33" s="1685"/>
      <c r="L33" s="1685"/>
      <c r="M33" s="1685"/>
      <c r="N33" s="1685"/>
    </row>
    <row r="34" spans="1:14" s="2673" customFormat="1" ht="14.25">
      <c r="A34" s="2928" t="s">
        <v>1669</v>
      </c>
      <c r="B34" s="2956">
        <f>收益法!J54</f>
        <v>70</v>
      </c>
      <c r="D34" s="2935" t="s">
        <v>1672</v>
      </c>
      <c r="E34" s="2669">
        <v>0.02</v>
      </c>
      <c r="F34" s="1309" t="s">
        <v>1673</v>
      </c>
      <c r="G34" s="2967"/>
      <c r="H34" s="2967"/>
      <c r="I34" s="1685"/>
      <c r="J34" s="1685"/>
      <c r="K34" s="1685"/>
      <c r="L34" s="1685"/>
      <c r="M34" s="1685"/>
      <c r="N34" s="1685"/>
    </row>
    <row r="35" spans="1:14" s="2673" customFormat="1" ht="15" thickBot="1">
      <c r="A35" s="2935" t="str">
        <f>IF(B29="租赁期内按合同租金","剩余租赁期","——")</f>
        <v>——</v>
      </c>
      <c r="B35" s="2672"/>
      <c r="D35" s="2931" t="s">
        <v>1675</v>
      </c>
      <c r="E35" s="2675"/>
      <c r="F35" s="1312" t="s">
        <v>1676</v>
      </c>
      <c r="G35" s="2967"/>
      <c r="H35" s="2967"/>
      <c r="I35" s="1685"/>
      <c r="J35" s="1685"/>
      <c r="K35" s="1685"/>
      <c r="L35" s="1685"/>
      <c r="M35" s="1685"/>
      <c r="N35" s="1685"/>
    </row>
    <row r="36" spans="1:14" s="2673" customFormat="1" ht="15">
      <c r="A36" s="2957" t="s">
        <v>1674</v>
      </c>
      <c r="B36" s="2958"/>
      <c r="D36" s="2959" t="s">
        <v>1677</v>
      </c>
      <c r="E36" s="2677">
        <v>0.03</v>
      </c>
      <c r="F36" s="1311" t="s">
        <v>1678</v>
      </c>
      <c r="G36" s="2967"/>
      <c r="H36" s="2967"/>
      <c r="I36" s="1685"/>
      <c r="J36" s="1685"/>
      <c r="K36" s="1685"/>
      <c r="L36" s="1685"/>
      <c r="M36" s="1685"/>
      <c r="N36" s="1685"/>
    </row>
    <row r="37" spans="1:14" s="2673" customFormat="1" ht="15" thickBot="1">
      <c r="A37" s="2933" t="str">
        <f>IF(B29="租赁期内按合同租金","租金","——")</f>
        <v>——</v>
      </c>
      <c r="B37" s="2676"/>
      <c r="D37" s="2935" t="s">
        <v>1679</v>
      </c>
      <c r="E37" s="2669">
        <v>5.0000000000000001E-4</v>
      </c>
      <c r="F37" s="1311" t="s">
        <v>1680</v>
      </c>
      <c r="G37" s="2967"/>
      <c r="H37" s="2967"/>
      <c r="I37" s="1685"/>
      <c r="J37" s="1685"/>
      <c r="K37" s="1685"/>
      <c r="L37" s="1685"/>
      <c r="M37" s="1685"/>
      <c r="N37" s="1685"/>
    </row>
    <row r="38" spans="1:14" s="2673" customFormat="1" ht="14.25">
      <c r="A38" s="2928" t="str">
        <f>IF(B29="租赁期内按合同租金","年租金增长率","——")</f>
        <v>——</v>
      </c>
      <c r="B38" s="2653"/>
      <c r="D38" s="2960" t="s">
        <v>1681</v>
      </c>
      <c r="E38" s="2961">
        <v>1.2E-2</v>
      </c>
      <c r="F38" s="1311"/>
      <c r="G38" s="2966"/>
      <c r="H38" s="2966"/>
      <c r="I38" s="2967"/>
      <c r="J38" s="1685"/>
      <c r="K38" s="1685"/>
      <c r="L38" s="1685"/>
      <c r="M38" s="1685"/>
      <c r="N38" s="1685"/>
    </row>
    <row r="39" spans="1:14" s="2673" customFormat="1" ht="15" thickBot="1">
      <c r="A39" s="2928" t="str">
        <f>IF(B29="租赁期内按合同租金","空置率","——")</f>
        <v>——</v>
      </c>
      <c r="B39" s="2653"/>
      <c r="D39" s="2931" t="s">
        <v>1682</v>
      </c>
      <c r="E39" s="2962">
        <v>0.12</v>
      </c>
      <c r="F39" s="1311"/>
      <c r="G39" s="2967"/>
      <c r="H39" s="2967"/>
      <c r="I39" s="1685"/>
      <c r="J39" s="1685"/>
      <c r="K39" s="1685"/>
      <c r="L39" s="1685"/>
      <c r="M39" s="1685"/>
      <c r="N39" s="1685"/>
    </row>
    <row r="40" spans="1:14" ht="14.25">
      <c r="A40" s="2928" t="str">
        <f>IF(B29="租赁期内按合同租金","成新率","——")</f>
        <v>——</v>
      </c>
      <c r="B40" s="2653"/>
      <c r="D40" s="2960" t="s">
        <v>1683</v>
      </c>
      <c r="E40" s="2964">
        <f>SUMIF(D42:D51,E41,E42:E51)</f>
        <v>1.5</v>
      </c>
      <c r="F40" s="1311"/>
      <c r="G40" s="2967"/>
      <c r="H40" s="2967"/>
      <c r="I40" s="1685"/>
      <c r="J40" s="1685"/>
      <c r="K40" s="1685"/>
      <c r="L40" s="1685"/>
      <c r="M40" s="1685"/>
      <c r="N40" s="1685"/>
    </row>
    <row r="41" spans="1:14" ht="15" thickBot="1">
      <c r="A41" s="2935" t="str">
        <f>IF(B29="租赁期内按合同租金","租赁期外收益期","——")</f>
        <v>——</v>
      </c>
      <c r="B41" s="2963" t="str">
        <f>IF(B29="租赁期内按合同租金",B34-B35,"——")</f>
        <v>——</v>
      </c>
      <c r="D41" s="2928" t="s">
        <v>1685</v>
      </c>
      <c r="E41" s="2679" t="s">
        <v>70</v>
      </c>
      <c r="F41" s="1311" t="s">
        <v>1686</v>
      </c>
      <c r="G41" s="1770" t="s">
        <v>1687</v>
      </c>
      <c r="H41" s="2967"/>
      <c r="I41" s="1685"/>
      <c r="J41" s="1685"/>
      <c r="K41" s="1685"/>
      <c r="L41" s="1685"/>
      <c r="M41" s="1685"/>
      <c r="N41" s="1685"/>
    </row>
    <row r="42" spans="1:14" ht="14.25">
      <c r="A42" s="2927" t="s">
        <v>1684</v>
      </c>
      <c r="B42" s="2678"/>
      <c r="D42" s="2681" t="s">
        <v>1689</v>
      </c>
      <c r="E42" s="2668"/>
      <c r="F42" s="1311">
        <v>30</v>
      </c>
      <c r="G42" s="2967"/>
      <c r="H42" s="2967"/>
      <c r="I42" s="1685"/>
      <c r="J42" s="1685"/>
      <c r="K42" s="1685"/>
      <c r="L42" s="1685"/>
      <c r="M42" s="1685"/>
      <c r="N42" s="1685"/>
    </row>
    <row r="43" spans="1:14" ht="14.25">
      <c r="A43" s="2928" t="s">
        <v>1688</v>
      </c>
      <c r="B43" s="2680"/>
      <c r="D43" s="2681" t="s">
        <v>1691</v>
      </c>
      <c r="E43" s="2668"/>
      <c r="F43" s="1311">
        <v>24</v>
      </c>
      <c r="G43" s="2967"/>
      <c r="H43" s="2967"/>
      <c r="I43" s="1685"/>
      <c r="J43" s="1685"/>
      <c r="K43" s="1685"/>
      <c r="L43" s="1685"/>
      <c r="M43" s="1685"/>
      <c r="N43" s="1685"/>
    </row>
    <row r="44" spans="1:14" ht="14.25">
      <c r="A44" s="2928" t="s">
        <v>1690</v>
      </c>
      <c r="B44" s="2668"/>
      <c r="D44" s="2681" t="s">
        <v>1693</v>
      </c>
      <c r="E44" s="2668"/>
      <c r="F44" s="1311">
        <v>18</v>
      </c>
      <c r="G44" s="2673"/>
      <c r="H44" s="2673"/>
      <c r="I44" s="2967"/>
      <c r="J44" s="1685"/>
      <c r="K44" s="1685"/>
      <c r="L44" s="1685"/>
      <c r="M44" s="1685"/>
      <c r="N44" s="1685"/>
    </row>
    <row r="45" spans="1:14" ht="14.25">
      <c r="A45" s="2928" t="s">
        <v>1692</v>
      </c>
      <c r="B45" s="2682">
        <v>1.4999999999999999E-2</v>
      </c>
      <c r="C45" s="2561" t="s">
        <v>2844</v>
      </c>
      <c r="D45" s="2681" t="s">
        <v>1695</v>
      </c>
      <c r="E45" s="2668"/>
      <c r="F45" s="1311">
        <v>12</v>
      </c>
      <c r="G45" s="2673"/>
      <c r="H45" s="2673"/>
      <c r="M45" s="1685"/>
      <c r="N45" s="1685"/>
    </row>
    <row r="46" spans="1:14" ht="14.25">
      <c r="A46" s="2928" t="s">
        <v>1694</v>
      </c>
      <c r="B46" s="2683">
        <v>1.5E-3</v>
      </c>
      <c r="C46" s="2561" t="s">
        <v>2842</v>
      </c>
      <c r="D46" s="2681" t="s">
        <v>1457</v>
      </c>
      <c r="E46" s="2668"/>
      <c r="F46" s="1311">
        <v>3</v>
      </c>
      <c r="G46" s="2673"/>
      <c r="H46" s="2673"/>
      <c r="M46" s="1685"/>
      <c r="N46" s="1685"/>
    </row>
    <row r="47" spans="1:14" ht="15" thickBot="1">
      <c r="A47" s="2931" t="s">
        <v>1696</v>
      </c>
      <c r="B47" s="2684">
        <v>0.01</v>
      </c>
      <c r="C47" s="2561" t="s">
        <v>2843</v>
      </c>
      <c r="D47" s="2681" t="s">
        <v>1697</v>
      </c>
      <c r="E47" s="2668">
        <v>1.5</v>
      </c>
      <c r="F47" s="1311">
        <v>1.5</v>
      </c>
      <c r="G47" s="2673"/>
      <c r="H47" s="2673"/>
      <c r="M47" s="1685"/>
      <c r="N47" s="1685"/>
    </row>
    <row r="48" spans="1:14" ht="14.25">
      <c r="A48" s="2673"/>
      <c r="B48" s="2673"/>
      <c r="D48" s="2681" t="s">
        <v>1698</v>
      </c>
      <c r="E48" s="2668"/>
      <c r="F48" s="1311"/>
      <c r="G48" s="2673"/>
      <c r="H48" s="2673"/>
      <c r="M48" s="1685"/>
      <c r="N48" s="1685"/>
    </row>
    <row r="49" spans="1:41" ht="14.25">
      <c r="A49" s="2673"/>
      <c r="B49" s="2673"/>
      <c r="D49" s="2681" t="s">
        <v>1699</v>
      </c>
      <c r="E49" s="2668"/>
      <c r="F49" s="1311"/>
      <c r="G49" s="2673"/>
      <c r="H49" s="2673"/>
      <c r="M49" s="1685"/>
      <c r="N49" s="1685"/>
    </row>
    <row r="50" spans="1:41" ht="14.25">
      <c r="A50" s="2673"/>
      <c r="B50" s="2673"/>
      <c r="D50" s="2681" t="s">
        <v>1700</v>
      </c>
      <c r="E50" s="2668"/>
      <c r="F50" s="1311"/>
      <c r="G50" s="2673"/>
      <c r="H50" s="2673"/>
      <c r="M50" s="1685"/>
      <c r="N50" s="1685"/>
    </row>
    <row r="51" spans="1:41" s="947" customFormat="1" ht="15" thickBot="1">
      <c r="A51" s="2673"/>
      <c r="B51" s="2673"/>
      <c r="C51" s="2673"/>
      <c r="D51" s="2685" t="s">
        <v>1701</v>
      </c>
      <c r="E51" s="2686"/>
      <c r="F51" s="1311"/>
      <c r="G51" s="2673"/>
      <c r="H51" s="2673"/>
      <c r="I51" s="2673"/>
      <c r="J51" s="2673"/>
      <c r="K51" s="2673"/>
      <c r="L51" s="2673"/>
      <c r="M51" s="1685"/>
      <c r="N51" s="1685"/>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5"/>
      <c r="J52" s="1685"/>
      <c r="K52" s="1685"/>
      <c r="L52" s="1685"/>
      <c r="M52" s="1685"/>
      <c r="N52" s="1685"/>
    </row>
    <row r="53" spans="1:41" s="2673" customFormat="1" ht="14.25">
      <c r="D53" s="2967"/>
      <c r="E53" s="2967"/>
      <c r="F53" s="2967"/>
      <c r="G53" s="2967"/>
      <c r="H53" s="2967"/>
      <c r="I53" s="1685"/>
      <c r="J53" s="1685"/>
      <c r="K53" s="1685"/>
      <c r="L53" s="1685"/>
      <c r="M53" s="1685"/>
      <c r="N53" s="1685"/>
    </row>
    <row r="54" spans="1:41" s="2673" customFormat="1" ht="14.25">
      <c r="D54" s="2967"/>
      <c r="E54" s="2967"/>
      <c r="F54" s="2967"/>
      <c r="G54" s="2967"/>
      <c r="H54" s="2967"/>
      <c r="I54" s="1685"/>
      <c r="J54" s="1685"/>
      <c r="K54" s="1685"/>
      <c r="L54" s="1685"/>
      <c r="M54" s="1685"/>
      <c r="N54" s="1685"/>
    </row>
    <row r="55" spans="1:41" s="2673" customFormat="1" ht="14.25">
      <c r="D55" s="2967"/>
      <c r="E55" s="2967"/>
      <c r="F55" s="2967"/>
      <c r="G55" s="2967"/>
      <c r="H55" s="2967"/>
      <c r="I55" s="1685"/>
      <c r="J55" s="1685"/>
      <c r="K55" s="1685"/>
      <c r="L55" s="1685"/>
      <c r="M55" s="1685"/>
      <c r="N55" s="1685"/>
    </row>
    <row r="56" spans="1:41" s="2673" customFormat="1" ht="49.5">
      <c r="A56" s="2971" t="s">
        <v>2896</v>
      </c>
      <c r="D56" s="2967"/>
      <c r="E56" s="2967"/>
      <c r="F56" s="2967"/>
      <c r="G56" s="2967"/>
      <c r="H56" s="2967"/>
      <c r="I56" s="1685"/>
      <c r="J56" s="1685"/>
      <c r="K56" s="1685"/>
      <c r="L56" s="1685"/>
      <c r="M56" s="1685"/>
      <c r="N56" s="1685"/>
    </row>
    <row r="57" spans="1:41" s="2673" customFormat="1" ht="14.25">
      <c r="D57" s="2967"/>
      <c r="E57" s="2967"/>
      <c r="F57" s="2967"/>
      <c r="G57" s="2967"/>
      <c r="H57" s="2967"/>
      <c r="I57" s="1685"/>
      <c r="J57" s="1685"/>
      <c r="K57" s="1685"/>
      <c r="L57" s="1685"/>
      <c r="M57" s="1685"/>
      <c r="N57" s="1685"/>
    </row>
    <row r="58" spans="1:41" s="2673" customFormat="1" ht="14.25">
      <c r="D58" s="2967"/>
      <c r="E58" s="2967"/>
      <c r="F58" s="2967"/>
      <c r="G58" s="2967"/>
      <c r="H58" s="2967"/>
      <c r="I58" s="1685"/>
      <c r="J58" s="1685"/>
      <c r="K58" s="1685"/>
      <c r="L58" s="1685"/>
      <c r="M58" s="1685"/>
      <c r="N58" s="1685"/>
    </row>
    <row r="59" spans="1:41" s="2673" customFormat="1" ht="14.25">
      <c r="D59" s="2967"/>
      <c r="E59" s="2967"/>
      <c r="F59" s="2967"/>
      <c r="G59" s="2967"/>
      <c r="H59" s="2967"/>
      <c r="I59" s="1685"/>
      <c r="J59" s="1685"/>
      <c r="K59" s="1685"/>
      <c r="L59" s="1685"/>
      <c r="M59" s="2968"/>
      <c r="N59" s="1685"/>
    </row>
    <row r="60" spans="1:41" s="2673" customFormat="1" ht="14.25">
      <c r="D60" s="2967"/>
      <c r="E60" s="2967"/>
      <c r="F60" s="2967"/>
      <c r="G60" s="2967"/>
      <c r="H60" s="2967"/>
      <c r="I60" s="1685"/>
      <c r="J60" s="1685"/>
      <c r="K60" s="1685"/>
      <c r="L60" s="1685"/>
      <c r="M60" s="1685"/>
      <c r="N60" s="1685"/>
    </row>
    <row r="61" spans="1:41" s="2673" customFormat="1" ht="14.25">
      <c r="D61" s="2967"/>
      <c r="E61" s="2967"/>
      <c r="F61" s="2967"/>
      <c r="G61" s="2967"/>
      <c r="H61" s="2967"/>
      <c r="I61" s="1685"/>
      <c r="J61" s="1685"/>
      <c r="K61" s="1685"/>
      <c r="L61" s="1685"/>
      <c r="M61" s="1685"/>
      <c r="N61" s="1685"/>
    </row>
    <row r="62" spans="1:41" s="2673" customFormat="1" ht="14.25">
      <c r="D62" s="2967"/>
      <c r="E62" s="2967"/>
      <c r="F62" s="2967"/>
      <c r="G62" s="2967"/>
      <c r="H62" s="2967"/>
      <c r="I62" s="1685"/>
      <c r="J62" s="1685"/>
      <c r="K62" s="1685"/>
      <c r="L62" s="1685"/>
      <c r="M62" s="1685"/>
      <c r="N62" s="1685"/>
    </row>
    <row r="63" spans="1:41" s="2673" customFormat="1" ht="14.25">
      <c r="D63" s="2967"/>
      <c r="E63" s="2967"/>
      <c r="F63" s="2967"/>
      <c r="G63" s="2967"/>
      <c r="H63" s="2967"/>
      <c r="I63" s="1685"/>
      <c r="J63" s="1685"/>
      <c r="K63" s="1685"/>
      <c r="L63" s="1685"/>
      <c r="M63" s="1685"/>
      <c r="N63" s="1685"/>
    </row>
    <row r="64" spans="1:41" s="2673" customFormat="1" ht="14.25">
      <c r="D64" s="2967"/>
      <c r="E64" s="2967"/>
      <c r="F64" s="2967"/>
      <c r="G64" s="2967"/>
      <c r="H64" s="2967"/>
      <c r="I64" s="1685"/>
      <c r="J64" s="1685"/>
      <c r="K64" s="1685"/>
      <c r="L64" s="1685"/>
      <c r="M64" s="1685"/>
      <c r="N64" s="1685"/>
    </row>
    <row r="65" spans="1:14" s="2673" customFormat="1" ht="14.25">
      <c r="D65" s="2967"/>
      <c r="E65" s="2967"/>
      <c r="F65" s="2967"/>
      <c r="G65" s="2967"/>
      <c r="H65" s="2967"/>
      <c r="I65" s="1685"/>
      <c r="J65" s="1685"/>
      <c r="K65" s="1685"/>
      <c r="L65" s="1685"/>
      <c r="M65" s="1685"/>
      <c r="N65" s="1685"/>
    </row>
    <row r="66" spans="1:14" s="2673" customFormat="1" ht="14.25">
      <c r="D66" s="2967"/>
      <c r="E66" s="2967"/>
      <c r="F66" s="2967"/>
      <c r="G66" s="2967"/>
      <c r="H66" s="2967"/>
      <c r="I66" s="1685"/>
      <c r="J66" s="1685"/>
      <c r="K66" s="1685"/>
      <c r="L66" s="1685"/>
      <c r="M66" s="1685"/>
      <c r="N66" s="1685"/>
    </row>
    <row r="67" spans="1:14" s="2673" customFormat="1" ht="14.25">
      <c r="A67" s="2971"/>
      <c r="D67" s="2967"/>
      <c r="E67" s="2967"/>
      <c r="F67" s="2967"/>
      <c r="G67" s="2967"/>
      <c r="H67" s="2967"/>
      <c r="I67" s="1685"/>
      <c r="J67" s="1685"/>
      <c r="K67" s="1685"/>
      <c r="L67" s="1685"/>
      <c r="M67" s="1685"/>
      <c r="N67" s="1685"/>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3">
    <mergeCell ref="D2:D4"/>
    <mergeCell ref="H13:I13"/>
    <mergeCell ref="H19:L19"/>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5" zoomScaleNormal="80" zoomScaleSheetLayoutView="85" workbookViewId="0">
      <pane xSplit="1" ySplit="2" topLeftCell="B3" activePane="bottomRight" state="frozen"/>
      <selection activeCell="A11" sqref="A11:D11"/>
      <selection pane="topRight" activeCell="A11" sqref="A11:D11"/>
      <selection pane="bottomLeft" activeCell="A11" sqref="A11:D11"/>
      <selection pane="bottomRight" activeCell="C16" sqref="C16"/>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520" t="s">
        <v>1702</v>
      </c>
      <c r="B1" s="3521"/>
      <c r="C1" s="3521"/>
      <c r="D1" s="3521"/>
      <c r="E1" s="3521"/>
      <c r="F1" s="3521"/>
      <c r="G1" s="3521"/>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2849</v>
      </c>
      <c r="D2" s="3100"/>
      <c r="E2" s="3097"/>
      <c r="F2" s="3101"/>
      <c r="G2" s="3099" t="s">
        <v>2850</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25.5">
      <c r="A3" s="3103" t="s">
        <v>2851</v>
      </c>
      <c r="B3" s="3104" t="s">
        <v>2852</v>
      </c>
      <c r="C3" s="3175" t="s">
        <v>2959</v>
      </c>
      <c r="D3" s="3105"/>
      <c r="E3" s="3106" t="s">
        <v>2851</v>
      </c>
      <c r="F3" s="3107" t="s">
        <v>2853</v>
      </c>
      <c r="G3" s="3108" t="s">
        <v>2854</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75">
      <c r="A4" s="3106"/>
      <c r="B4" s="3091" t="s">
        <v>2855</v>
      </c>
      <c r="C4" s="3109" t="s">
        <v>2856</v>
      </c>
      <c r="D4" s="3105"/>
      <c r="E4" s="3110"/>
      <c r="F4" s="3093" t="s">
        <v>2857</v>
      </c>
      <c r="G4" s="3111" t="s">
        <v>2858</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24.75">
      <c r="A5" s="3106"/>
      <c r="B5" s="3091" t="s">
        <v>2859</v>
      </c>
      <c r="C5" s="3109" t="s">
        <v>2860</v>
      </c>
      <c r="D5" s="3105"/>
      <c r="E5" s="3110"/>
      <c r="F5" s="3091" t="s">
        <v>2861</v>
      </c>
      <c r="G5" s="3111" t="s">
        <v>2862</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48">
      <c r="A6" s="3106"/>
      <c r="B6" s="3091" t="s">
        <v>2863</v>
      </c>
      <c r="C6" s="3176" t="s">
        <v>2960</v>
      </c>
      <c r="D6" s="3105"/>
      <c r="E6" s="3110"/>
      <c r="F6" s="3091" t="s">
        <v>2864</v>
      </c>
      <c r="G6" s="3111" t="s">
        <v>2865</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72.75" thickBot="1">
      <c r="A7" s="3106"/>
      <c r="B7" s="3091" t="s">
        <v>2861</v>
      </c>
      <c r="C7" s="3189" t="s">
        <v>2961</v>
      </c>
      <c r="D7" s="2980"/>
      <c r="E7" s="3112"/>
      <c r="F7" s="3113" t="s">
        <v>2866</v>
      </c>
      <c r="G7" s="3114" t="s">
        <v>2867</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6"/>
      <c r="B8" s="3091" t="s">
        <v>2864</v>
      </c>
      <c r="C8" s="3176" t="s">
        <v>2937</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60">
      <c r="A9" s="3106"/>
      <c r="B9" s="3091" t="s">
        <v>2868</v>
      </c>
      <c r="C9" s="3177" t="s">
        <v>2962</v>
      </c>
      <c r="D9" s="3105"/>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5"/>
      <c r="B10" s="3095" t="s">
        <v>2869</v>
      </c>
      <c r="C10" s="3190" t="s">
        <v>2963</v>
      </c>
      <c r="D10" s="3105"/>
      <c r="E10" s="3105"/>
      <c r="F10" s="2975"/>
      <c r="G10" s="2975"/>
      <c r="H10" s="1498"/>
      <c r="I10" s="3116"/>
      <c r="J10" s="3117"/>
      <c r="K10" s="1498"/>
      <c r="L10" s="3116"/>
      <c r="M10" s="3117"/>
      <c r="N10" s="1498"/>
      <c r="O10" s="3116"/>
      <c r="P10" s="3117"/>
      <c r="Q10" s="1498"/>
      <c r="R10" s="3116"/>
      <c r="S10" s="3102"/>
      <c r="T10" s="3102"/>
      <c r="U10" s="3102"/>
      <c r="V10" s="3102"/>
      <c r="W10" s="3102"/>
      <c r="X10" s="3102"/>
      <c r="Y10" s="3102"/>
      <c r="Z10" s="3102"/>
      <c r="AA10" s="3102"/>
      <c r="AB10" s="3102"/>
      <c r="AC10" s="3102"/>
    </row>
    <row r="11" spans="1:29" s="2673" customFormat="1" ht="12.75">
      <c r="A11" s="3118"/>
      <c r="B11" s="2980"/>
      <c r="C11" s="3105"/>
      <c r="D11" s="3105"/>
      <c r="E11" s="3105"/>
      <c r="F11" s="2980"/>
      <c r="G11" s="3119"/>
      <c r="H11" s="1498"/>
      <c r="I11" s="3116"/>
      <c r="J11" s="3117"/>
      <c r="K11" s="1498"/>
      <c r="L11" s="3116"/>
      <c r="M11" s="3117"/>
      <c r="N11" s="1498"/>
      <c r="O11" s="3116"/>
      <c r="P11" s="3117"/>
      <c r="Q11" s="1498"/>
      <c r="R11" s="3116"/>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1"/>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2" customFormat="1" ht="13.5" thickBot="1">
      <c r="A14" s="3120"/>
      <c r="B14" s="3120"/>
      <c r="C14" s="3121" t="s">
        <v>2870</v>
      </c>
      <c r="D14" s="3105"/>
      <c r="E14" s="3122"/>
      <c r="F14" s="3122"/>
      <c r="G14" s="3099" t="s">
        <v>2871</v>
      </c>
      <c r="H14" s="3123"/>
      <c r="I14" s="3124"/>
      <c r="J14" s="3123"/>
      <c r="K14" s="3123"/>
      <c r="L14" s="3124"/>
      <c r="M14" s="3123"/>
      <c r="N14" s="3123"/>
      <c r="O14" s="3124"/>
      <c r="P14" s="3123"/>
      <c r="Q14" s="3123"/>
      <c r="R14" s="3125"/>
      <c r="S14" s="3102"/>
      <c r="T14" s="3102"/>
      <c r="U14" s="3102"/>
      <c r="V14" s="3102"/>
      <c r="W14" s="3102"/>
      <c r="X14" s="3102"/>
      <c r="Y14" s="3102"/>
      <c r="Z14" s="3102"/>
      <c r="AA14" s="3102"/>
      <c r="AB14" s="3102"/>
      <c r="AC14" s="3102"/>
    </row>
    <row r="15" spans="1:29" s="2632" customFormat="1" ht="25.5">
      <c r="A15" s="3126" t="s">
        <v>2872</v>
      </c>
      <c r="B15" s="3127" t="s">
        <v>2852</v>
      </c>
      <c r="C15" s="3128" t="str">
        <f>C3</f>
        <v>周边有沿海赛洛城、金都杭城、金海国际等住宅小区，居住社区成熟度较好</v>
      </c>
      <c r="D15" s="3105"/>
      <c r="E15" s="3129" t="s">
        <v>2873</v>
      </c>
      <c r="F15" s="3127" t="s">
        <v>2874</v>
      </c>
      <c r="G15" s="3130" t="str">
        <f>G3</f>
        <v>估价对象位于XX开发区，园区建设成熟度XX，产业集聚程度XX</v>
      </c>
      <c r="H15" s="3123"/>
      <c r="I15" s="3124"/>
      <c r="J15" s="3123"/>
      <c r="K15" s="3123"/>
      <c r="L15" s="3124"/>
      <c r="M15" s="3123"/>
      <c r="N15" s="3123"/>
      <c r="O15" s="3124"/>
      <c r="P15" s="3123"/>
      <c r="Q15" s="3123"/>
      <c r="R15" s="3125"/>
      <c r="S15" s="3102"/>
      <c r="T15" s="3102"/>
      <c r="U15" s="3102"/>
      <c r="V15" s="3102"/>
      <c r="W15" s="3102"/>
      <c r="X15" s="3102"/>
      <c r="Y15" s="3102"/>
      <c r="Z15" s="3102"/>
      <c r="AA15" s="3102"/>
      <c r="AB15" s="3102"/>
      <c r="AC15" s="3102"/>
    </row>
    <row r="16" spans="1:29" s="2632" customFormat="1" ht="25.5">
      <c r="A16" s="3131"/>
      <c r="B16" s="2572" t="s">
        <v>2855</v>
      </c>
      <c r="C16" s="3132" t="str">
        <f>C4</f>
        <v>估价对象位于XX商圈，周边商业氛围成熟，人流量大，商业繁华度好</v>
      </c>
      <c r="D16" s="3105"/>
      <c r="E16" s="3133"/>
      <c r="F16" s="3092" t="s">
        <v>2857</v>
      </c>
      <c r="G16" s="3134" t="str">
        <f>G4</f>
        <v>估价对象周边道路状况、公共交通通达情况、停车便捷程度，综合评价交通便捷度较好</v>
      </c>
      <c r="H16" s="3123"/>
      <c r="I16" s="3124"/>
      <c r="J16" s="3123"/>
      <c r="K16" s="3123"/>
      <c r="L16" s="3124"/>
      <c r="M16" s="3123"/>
      <c r="N16" s="3123"/>
      <c r="O16" s="3124"/>
      <c r="P16" s="3123"/>
      <c r="Q16" s="3123"/>
      <c r="R16" s="3125"/>
      <c r="S16" s="3102"/>
      <c r="T16" s="3102"/>
      <c r="U16" s="3102"/>
      <c r="V16" s="3102"/>
      <c r="W16" s="3102"/>
      <c r="X16" s="3102"/>
      <c r="Y16" s="3102"/>
      <c r="Z16" s="3102"/>
      <c r="AA16" s="3102"/>
      <c r="AB16" s="3102"/>
      <c r="AC16" s="3102"/>
    </row>
    <row r="17" spans="1:29" s="2632" customFormat="1" ht="25.5">
      <c r="A17" s="3131"/>
      <c r="B17" s="2572" t="s">
        <v>2859</v>
      </c>
      <c r="C17" s="3132" t="str">
        <f>C5</f>
        <v>估价对象位于XX商圈，周边办公楼项目较多，入驻率高，办公集聚程度较好</v>
      </c>
      <c r="D17" s="2980"/>
      <c r="E17" s="3133"/>
      <c r="F17" s="3092" t="s">
        <v>2875</v>
      </c>
      <c r="G17" s="3135"/>
      <c r="H17" s="3123"/>
      <c r="I17" s="3124"/>
      <c r="J17" s="3123"/>
      <c r="K17" s="3123"/>
      <c r="L17" s="3124"/>
      <c r="M17" s="3123"/>
      <c r="N17" s="3123"/>
      <c r="O17" s="3124"/>
      <c r="P17" s="3123"/>
      <c r="Q17" s="3123"/>
      <c r="R17" s="3125"/>
      <c r="S17" s="3102"/>
      <c r="T17" s="3102"/>
      <c r="U17" s="3102"/>
      <c r="V17" s="3102"/>
      <c r="W17" s="3102"/>
      <c r="X17" s="3102"/>
      <c r="Y17" s="3102"/>
      <c r="Z17" s="3102"/>
      <c r="AA17" s="3102"/>
      <c r="AB17" s="3102"/>
      <c r="AC17" s="3102"/>
    </row>
    <row r="18" spans="1:29" s="2632" customFormat="1" ht="51">
      <c r="A18" s="3131"/>
      <c r="B18" s="3092" t="s">
        <v>2863</v>
      </c>
      <c r="C18" s="3134" t="str">
        <f>C6</f>
        <v>距地铁1号线四惠站（换乘站）约1000米（2003），距地铁7号线百子湾站约1.5公里（2014），周边有多条公交线路通过，交通便捷度较好</v>
      </c>
      <c r="D18" s="2980"/>
      <c r="E18" s="3133"/>
      <c r="F18" s="3092" t="s">
        <v>2866</v>
      </c>
      <c r="G18" s="3134" t="str">
        <f>G7</f>
        <v>该园区内是否有污染型企业，绿化情况，卫生条件，整体环境状况判断</v>
      </c>
      <c r="H18" s="3123"/>
      <c r="I18" s="3124"/>
      <c r="J18" s="3123"/>
      <c r="K18" s="3123"/>
      <c r="L18" s="3124"/>
      <c r="M18" s="3123"/>
      <c r="N18" s="3123"/>
      <c r="O18" s="3124"/>
      <c r="P18" s="3123"/>
      <c r="Q18" s="3123"/>
      <c r="R18" s="3125"/>
      <c r="S18" s="3102"/>
      <c r="T18" s="3102"/>
      <c r="U18" s="3102"/>
      <c r="V18" s="3102"/>
      <c r="W18" s="3102"/>
      <c r="X18" s="3102"/>
      <c r="Y18" s="3102"/>
      <c r="Z18" s="3102"/>
      <c r="AA18" s="3102"/>
      <c r="AB18" s="3102"/>
      <c r="AC18" s="3102"/>
    </row>
    <row r="19" spans="1:29" s="2632" customFormat="1" ht="12.75">
      <c r="A19" s="3131"/>
      <c r="B19" s="3092" t="s">
        <v>2876</v>
      </c>
      <c r="C19" s="3135"/>
      <c r="D19" s="3105"/>
      <c r="E19" s="3133"/>
      <c r="F19" s="3091" t="s">
        <v>2861</v>
      </c>
      <c r="G19" s="3134" t="str">
        <f>G5</f>
        <v>估价对象所在区域公共配套设施齐备情况</v>
      </c>
      <c r="H19" s="3123"/>
      <c r="I19" s="3124"/>
      <c r="J19" s="3123"/>
      <c r="K19" s="3123"/>
      <c r="L19" s="3124"/>
      <c r="M19" s="3123"/>
      <c r="N19" s="3123"/>
      <c r="O19" s="3124"/>
      <c r="P19" s="3123"/>
      <c r="Q19" s="3123"/>
      <c r="R19" s="3125"/>
      <c r="S19" s="3102"/>
      <c r="T19" s="3102"/>
      <c r="U19" s="3102"/>
      <c r="V19" s="3102"/>
      <c r="W19" s="3102"/>
      <c r="X19" s="3102"/>
      <c r="Y19" s="3102"/>
      <c r="Z19" s="3102"/>
      <c r="AA19" s="3102"/>
      <c r="AB19" s="3102"/>
      <c r="AC19" s="3102"/>
    </row>
    <row r="20" spans="1:29" s="2632" customFormat="1" ht="63.75">
      <c r="A20" s="3131"/>
      <c r="B20" s="3092" t="s">
        <v>2877</v>
      </c>
      <c r="C20" s="3132" t="str">
        <f>C9</f>
        <v>区域自然环境：惠水湾森林公园（2019）、百子湾绿地公园（2019）；人文环境：北京政法职业学院(杨闸校区)；综合评价环境状况较好</v>
      </c>
      <c r="D20" s="2980"/>
      <c r="E20" s="3133"/>
      <c r="F20" s="3091" t="s">
        <v>2864</v>
      </c>
      <c r="G20" s="3134" t="str">
        <f>G6</f>
        <v>估价对象所在区域基础设施水平</v>
      </c>
      <c r="H20" s="3123"/>
      <c r="I20" s="3124"/>
      <c r="J20" s="3123"/>
      <c r="K20" s="3123"/>
      <c r="L20" s="3124"/>
      <c r="M20" s="3123"/>
      <c r="N20" s="3123"/>
      <c r="O20" s="3124"/>
      <c r="P20" s="3123"/>
      <c r="Q20" s="3123"/>
      <c r="R20" s="3125"/>
      <c r="S20" s="3102"/>
      <c r="T20" s="3102"/>
      <c r="U20" s="3102"/>
      <c r="V20" s="3102"/>
      <c r="W20" s="3102"/>
      <c r="X20" s="3102"/>
      <c r="Y20" s="3102"/>
      <c r="Z20" s="3102"/>
      <c r="AA20" s="3102"/>
      <c r="AB20" s="3102"/>
      <c r="AC20" s="3102"/>
    </row>
    <row r="21" spans="1:29" s="2632" customFormat="1" ht="76.5">
      <c r="A21" s="3131"/>
      <c r="B21" s="3091" t="s">
        <v>2861</v>
      </c>
      <c r="C21" s="3134" t="str">
        <f>C7</f>
        <v>华堂商场（十里堡店）、北京四惠中医医院（2016）、北京市朝阳区日坛小学（1962）、垂杨柳第四小学（1971）、北京市第十七中学（百子湾校区）（1946）、北京市日坛中学（四惠校区）（2015）</v>
      </c>
      <c r="D21" s="3105"/>
      <c r="E21" s="3133"/>
      <c r="F21" s="3092" t="s">
        <v>2878</v>
      </c>
      <c r="G21" s="3136"/>
      <c r="H21" s="3123"/>
      <c r="I21" s="3124"/>
      <c r="J21" s="3123"/>
      <c r="K21" s="3123"/>
      <c r="L21" s="3124"/>
      <c r="M21" s="3123"/>
      <c r="N21" s="3123"/>
      <c r="O21" s="3124"/>
      <c r="P21" s="3123"/>
      <c r="Q21" s="3123"/>
      <c r="R21" s="3125"/>
      <c r="S21" s="3102"/>
      <c r="T21" s="3102"/>
      <c r="U21" s="3102"/>
      <c r="V21" s="3102"/>
      <c r="W21" s="3102"/>
      <c r="X21" s="3102"/>
      <c r="Y21" s="3102"/>
      <c r="Z21" s="3102"/>
      <c r="AA21" s="3102"/>
      <c r="AB21" s="3102"/>
      <c r="AC21" s="3102"/>
    </row>
    <row r="22" spans="1:29" s="2632" customFormat="1" ht="12.75">
      <c r="A22" s="3131"/>
      <c r="B22" s="3091" t="s">
        <v>2864</v>
      </c>
      <c r="C22" s="3134" t="str">
        <f>C8</f>
        <v>七通</v>
      </c>
      <c r="D22" s="3105"/>
      <c r="E22" s="3133"/>
      <c r="F22" s="3092" t="s">
        <v>2869</v>
      </c>
      <c r="G22" s="3137"/>
      <c r="H22" s="3123"/>
      <c r="I22" s="3124"/>
      <c r="J22" s="3123"/>
      <c r="K22" s="3123"/>
      <c r="L22" s="3124"/>
      <c r="M22" s="3123"/>
      <c r="N22" s="3123"/>
      <c r="O22" s="3124"/>
      <c r="P22" s="3123"/>
      <c r="Q22" s="3123"/>
      <c r="R22" s="3125"/>
      <c r="S22" s="3102"/>
      <c r="T22" s="3102"/>
      <c r="U22" s="3102"/>
      <c r="V22" s="3102"/>
      <c r="W22" s="3102"/>
      <c r="X22" s="3102"/>
      <c r="Y22" s="3102"/>
      <c r="Z22" s="3102"/>
      <c r="AA22" s="3102"/>
      <c r="AB22" s="3102"/>
      <c r="AC22" s="3102"/>
    </row>
    <row r="23" spans="1:29" s="3102" customFormat="1" ht="13.5" thickBot="1">
      <c r="A23" s="3131"/>
      <c r="B23" s="3092" t="s">
        <v>2878</v>
      </c>
      <c r="C23" s="3136"/>
      <c r="D23" s="3123"/>
      <c r="E23" s="3138"/>
      <c r="F23" s="3094" t="s">
        <v>2879</v>
      </c>
      <c r="G23" s="3139"/>
      <c r="H23" s="3123"/>
      <c r="I23" s="3124"/>
      <c r="J23" s="3123"/>
      <c r="K23" s="3123"/>
      <c r="L23" s="3124"/>
      <c r="M23" s="3123"/>
      <c r="N23" s="3123"/>
      <c r="O23" s="3124"/>
      <c r="P23" s="3123"/>
      <c r="Q23" s="3123"/>
      <c r="R23" s="3125"/>
    </row>
    <row r="24" spans="1:29" s="3102" customFormat="1" ht="13.5" thickBot="1">
      <c r="A24" s="3140"/>
      <c r="B24" s="3094" t="s">
        <v>2880</v>
      </c>
      <c r="C24" s="3141" t="str">
        <f>C10</f>
        <v>城市次干道-百子湾路</v>
      </c>
      <c r="D24" s="3123"/>
      <c r="E24" s="3142"/>
      <c r="F24" s="3142"/>
      <c r="G24" s="3143"/>
      <c r="H24" s="3123"/>
      <c r="I24" s="3124"/>
      <c r="J24" s="3123"/>
      <c r="K24" s="3123"/>
      <c r="L24" s="3124"/>
      <c r="M24" s="3123"/>
      <c r="N24" s="3123"/>
      <c r="O24" s="3124"/>
      <c r="P24" s="3123"/>
      <c r="Q24" s="3123"/>
      <c r="R24" s="3125"/>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C15" sqref="C15"/>
    </sheetView>
  </sheetViews>
  <sheetFormatPr defaultColWidth="14.625" defaultRowHeight="13.5"/>
  <cols>
    <col min="1" max="1" width="24.375" style="2581" customWidth="1"/>
    <col min="2" max="16384" width="14.625" style="2581"/>
  </cols>
  <sheetData>
    <row r="1" spans="1:9" ht="16.5">
      <c r="A1" s="2579" t="s">
        <v>1212</v>
      </c>
      <c r="B1" s="2579">
        <f>SUM(B14:B23)</f>
        <v>64.19</v>
      </c>
      <c r="C1" s="1634"/>
      <c r="D1" s="1634"/>
      <c r="E1" s="1634"/>
      <c r="F1" s="1634"/>
      <c r="G1" s="2580"/>
    </row>
    <row r="2" spans="1:9" ht="16.5">
      <c r="A2" s="2579" t="s">
        <v>1213</v>
      </c>
      <c r="B2" s="2579">
        <f>SUM(C14:C23)</f>
        <v>0</v>
      </c>
      <c r="C2" s="1634"/>
      <c r="D2" s="1634"/>
      <c r="E2" s="1634"/>
      <c r="F2" s="1634"/>
      <c r="G2" s="2580"/>
    </row>
    <row r="3" spans="1:9" ht="16.5">
      <c r="A3" s="2579" t="s">
        <v>1214</v>
      </c>
      <c r="B3" s="2582">
        <f>项目基本情况!D2</f>
        <v>40002</v>
      </c>
      <c r="C3" s="1634"/>
      <c r="D3" s="1634"/>
      <c r="E3" s="1634"/>
      <c r="F3" s="1634"/>
      <c r="G3" s="2580"/>
    </row>
    <row r="4" spans="1:9" ht="33">
      <c r="A4" s="2579" t="s">
        <v>1215</v>
      </c>
      <c r="B4" s="2579" t="s">
        <v>1216</v>
      </c>
      <c r="C4" s="2579" t="s">
        <v>1217</v>
      </c>
      <c r="D4" s="2579" t="s">
        <v>1218</v>
      </c>
      <c r="E4" s="1634"/>
      <c r="F4" s="2580"/>
      <c r="G4" s="2580"/>
    </row>
    <row r="5" spans="1:9" ht="16.5">
      <c r="A5" s="2579" t="s">
        <v>1219</v>
      </c>
      <c r="B5" s="2579">
        <f ca="1">SUM(D14:D23)</f>
        <v>40.009599999999999</v>
      </c>
      <c r="C5" s="2579">
        <f ca="1">ROUND(B5*10000/$B$1,0)</f>
        <v>6233</v>
      </c>
      <c r="D5" s="2579" t="e">
        <f ca="1">ROUND(B5*10000/$B$2,0)</f>
        <v>#DIV/0!</v>
      </c>
      <c r="E5" s="1634"/>
      <c r="F5" s="2580"/>
      <c r="G5" s="2580"/>
    </row>
    <row r="6" spans="1:9" ht="16.5">
      <c r="A6" s="2579" t="s">
        <v>1220</v>
      </c>
      <c r="B6" s="2579">
        <f ca="1">SUM(G14:G23)</f>
        <v>40.009599999999999</v>
      </c>
      <c r="C6" s="2579">
        <f t="shared" ref="C6:C8" ca="1" si="0">ROUND(B6*10000/$B$1,0)</f>
        <v>6233</v>
      </c>
      <c r="D6" s="2579" t="e">
        <f t="shared" ref="D6:D8" ca="1" si="1">ROUND(B6*10000/$B$2,0)</f>
        <v>#DIV/0!</v>
      </c>
      <c r="E6" s="1634"/>
      <c r="F6" s="2580"/>
      <c r="G6" s="2580"/>
    </row>
    <row r="7" spans="1:9" ht="16.5">
      <c r="A7" s="2579" t="s">
        <v>1221</v>
      </c>
      <c r="B7" s="2579" t="e">
        <f>SUM(H14:H23)</f>
        <v>#VALUE!</v>
      </c>
      <c r="C7" s="2579" t="e">
        <f>ROUND(B7*10000/$B$1,0)</f>
        <v>#VALUE!</v>
      </c>
      <c r="D7" s="2579" t="e">
        <f t="shared" si="1"/>
        <v>#VALUE!</v>
      </c>
      <c r="E7" s="1634"/>
      <c r="F7" s="2580"/>
      <c r="G7" s="2580"/>
    </row>
    <row r="8" spans="1:9" ht="16.5">
      <c r="A8" s="2579" t="s">
        <v>1222</v>
      </c>
      <c r="B8" s="2579" t="e">
        <f>SUM(I14:I23)</f>
        <v>#VALUE!</v>
      </c>
      <c r="C8" s="2579" t="e">
        <f t="shared" si="0"/>
        <v>#VALUE!</v>
      </c>
      <c r="D8" s="2579" t="e">
        <f t="shared" si="1"/>
        <v>#VALUE!</v>
      </c>
      <c r="E8" s="1634"/>
      <c r="F8" s="2580"/>
      <c r="G8" s="2580"/>
    </row>
    <row r="9" spans="1:9" ht="16.5">
      <c r="A9" s="2579" t="s">
        <v>1223</v>
      </c>
      <c r="B9" s="2583"/>
      <c r="C9" s="1634"/>
      <c r="D9" s="1634"/>
      <c r="E9" s="1634"/>
      <c r="F9" s="2580"/>
      <c r="G9" s="2580"/>
    </row>
    <row r="10" spans="1:9" ht="16.5">
      <c r="A10" s="2579" t="s">
        <v>1224</v>
      </c>
      <c r="B10" s="2583"/>
      <c r="C10" s="1634"/>
      <c r="D10" s="1634"/>
      <c r="E10" s="1634"/>
      <c r="F10" s="2580"/>
      <c r="G10" s="2580"/>
    </row>
    <row r="11" spans="1:9" ht="16.5">
      <c r="A11" s="2579" t="s">
        <v>1239</v>
      </c>
      <c r="B11" s="2583"/>
      <c r="C11" s="1634"/>
      <c r="D11" s="1634"/>
      <c r="E11" s="1634"/>
      <c r="F11" s="2580"/>
      <c r="G11" s="2580"/>
    </row>
    <row r="12" spans="1:9" ht="16.5">
      <c r="A12" s="1634"/>
      <c r="B12" s="1634"/>
      <c r="C12" s="1634"/>
      <c r="D12" s="1634"/>
      <c r="E12" s="1634"/>
      <c r="F12" s="2580"/>
      <c r="G12" s="2580"/>
    </row>
    <row r="13" spans="1:9" ht="33">
      <c r="A13" s="2584" t="s">
        <v>1238</v>
      </c>
      <c r="B13" s="2585" t="s">
        <v>1212</v>
      </c>
      <c r="C13" s="2585" t="s">
        <v>1213</v>
      </c>
      <c r="D13" s="2585" t="s">
        <v>1225</v>
      </c>
      <c r="E13" s="2579" t="s">
        <v>1217</v>
      </c>
      <c r="F13" s="2579" t="s">
        <v>1218</v>
      </c>
      <c r="G13" s="2585" t="s">
        <v>1226</v>
      </c>
      <c r="H13" s="2585" t="s">
        <v>1227</v>
      </c>
      <c r="I13" s="2585" t="s">
        <v>1228</v>
      </c>
    </row>
    <row r="14" spans="1:9" ht="16.5">
      <c r="A14" s="2885" t="s">
        <v>2949</v>
      </c>
      <c r="B14" s="2915">
        <f>项目基本情况!C12</f>
        <v>64.19</v>
      </c>
      <c r="C14" s="2915">
        <f>项目基本情况!C13</f>
        <v>0</v>
      </c>
      <c r="D14" s="2915">
        <f ca="1">IF('数据-取费表'!B3="万元",IF(A14="估价对象1（结果表）",结果表!H121,'结果表 (1修多)'!H125),IF(A14="估价对象1（结果表）",结果表!H121,'结果表 (1修多)'!H125)/10000)</f>
        <v>40.009599999999999</v>
      </c>
      <c r="E14" s="2915">
        <f ca="1">ROUND(D14*10000/B14,0)</f>
        <v>6233</v>
      </c>
      <c r="F14" s="2915" t="e">
        <f ca="1">ROUND(D14*10000/C14,0)</f>
        <v>#DIV/0!</v>
      </c>
      <c r="G14" s="2915">
        <f ca="1">IF('数据-取费表'!B3="万元",IF(A14="估价对象1（结果表）",结果表!D125,'结果表 (1修多)'!D129),IF(A14="估价对象1（结果表）",结果表!D125,'结果表 (1修多)'!D129)/10000)</f>
        <v>40.009599999999999</v>
      </c>
      <c r="H14" s="2915" t="e">
        <f>IF('数据-取费表'!B3="万元",IF(A14="估价对象1（结果表）",结果表!D127,'结果表 (1修多)'!D131),IF(A14="估价对象1（结果表）",结果表!D127,'结果表 (1修多)'!D131)/10000)</f>
        <v>#VALUE!</v>
      </c>
      <c r="I14" s="2915" t="e">
        <f>IF('数据-取费表'!B3="万元",IF(A14="估价对象1（结果表）",结果表!D129,'结果表 (1修多)'!D133),IF(A14="估价对象1（结果表）",结果表!D129,'结果表 (1修多)'!D133)/10000)</f>
        <v>#VALUE!</v>
      </c>
    </row>
    <row r="15" spans="1:9" ht="16.5">
      <c r="A15" s="2586" t="s">
        <v>1229</v>
      </c>
      <c r="B15" s="2587"/>
      <c r="C15" s="2587"/>
      <c r="D15" s="2587"/>
      <c r="E15" s="2915" t="e">
        <f t="shared" ref="E15:E23" si="2">ROUND(D15*10000/B15,0)</f>
        <v>#DIV/0!</v>
      </c>
      <c r="F15" s="2915" t="e">
        <f t="shared" ref="F15:F23" si="3">ROUND(D15*10000/C15,0)</f>
        <v>#DIV/0!</v>
      </c>
      <c r="G15" s="1305"/>
      <c r="H15" s="1305"/>
      <c r="I15" s="2587"/>
    </row>
    <row r="16" spans="1:9" ht="16.5">
      <c r="A16" s="2586" t="s">
        <v>1230</v>
      </c>
      <c r="B16" s="2587"/>
      <c r="C16" s="2587"/>
      <c r="D16" s="2587"/>
      <c r="E16" s="2915" t="e">
        <f t="shared" si="2"/>
        <v>#DIV/0!</v>
      </c>
      <c r="F16" s="2915" t="e">
        <f t="shared" si="3"/>
        <v>#DIV/0!</v>
      </c>
      <c r="G16" s="1305"/>
      <c r="H16" s="1305"/>
      <c r="I16" s="2587"/>
    </row>
    <row r="17" spans="1:9" ht="16.5">
      <c r="A17" s="2586" t="s">
        <v>1231</v>
      </c>
      <c r="B17" s="2587"/>
      <c r="C17" s="2587"/>
      <c r="D17" s="2587"/>
      <c r="E17" s="2915" t="e">
        <f t="shared" si="2"/>
        <v>#DIV/0!</v>
      </c>
      <c r="F17" s="2915" t="e">
        <f t="shared" si="3"/>
        <v>#DIV/0!</v>
      </c>
      <c r="G17" s="1305"/>
      <c r="H17" s="1305"/>
      <c r="I17" s="2587"/>
    </row>
    <row r="18" spans="1:9" ht="16.5">
      <c r="A18" s="2586" t="s">
        <v>1232</v>
      </c>
      <c r="B18" s="2587"/>
      <c r="C18" s="2587"/>
      <c r="D18" s="2587"/>
      <c r="E18" s="2915" t="e">
        <f t="shared" si="2"/>
        <v>#DIV/0!</v>
      </c>
      <c r="F18" s="2915" t="e">
        <f t="shared" si="3"/>
        <v>#DIV/0!</v>
      </c>
      <c r="G18" s="2587"/>
      <c r="H18" s="2587"/>
      <c r="I18" s="2587"/>
    </row>
    <row r="19" spans="1:9" ht="16.5">
      <c r="A19" s="2586" t="s">
        <v>1233</v>
      </c>
      <c r="B19" s="2587"/>
      <c r="C19" s="2587"/>
      <c r="D19" s="2587"/>
      <c r="E19" s="2915" t="e">
        <f t="shared" si="2"/>
        <v>#DIV/0!</v>
      </c>
      <c r="F19" s="2915" t="e">
        <f t="shared" si="3"/>
        <v>#DIV/0!</v>
      </c>
      <c r="G19" s="2587"/>
      <c r="H19" s="2587"/>
      <c r="I19" s="2587"/>
    </row>
    <row r="20" spans="1:9" ht="16.5">
      <c r="A20" s="2586" t="s">
        <v>1234</v>
      </c>
      <c r="B20" s="2587"/>
      <c r="C20" s="2587"/>
      <c r="D20" s="2587"/>
      <c r="E20" s="2915" t="e">
        <f t="shared" si="2"/>
        <v>#DIV/0!</v>
      </c>
      <c r="F20" s="2915" t="e">
        <f t="shared" si="3"/>
        <v>#DIV/0!</v>
      </c>
      <c r="G20" s="2587"/>
      <c r="H20" s="2587"/>
      <c r="I20" s="2587"/>
    </row>
    <row r="21" spans="1:9" ht="16.5">
      <c r="A21" s="2586" t="s">
        <v>1235</v>
      </c>
      <c r="B21" s="2587"/>
      <c r="C21" s="2587"/>
      <c r="D21" s="2587"/>
      <c r="E21" s="2915" t="e">
        <f t="shared" si="2"/>
        <v>#DIV/0!</v>
      </c>
      <c r="F21" s="2915" t="e">
        <f t="shared" si="3"/>
        <v>#DIV/0!</v>
      </c>
      <c r="G21" s="2587"/>
      <c r="H21" s="2587"/>
      <c r="I21" s="2587"/>
    </row>
    <row r="22" spans="1:9" ht="16.5">
      <c r="A22" s="2586" t="s">
        <v>1236</v>
      </c>
      <c r="B22" s="2587"/>
      <c r="C22" s="2587"/>
      <c r="D22" s="2587"/>
      <c r="E22" s="2915" t="e">
        <f t="shared" si="2"/>
        <v>#DIV/0!</v>
      </c>
      <c r="F22" s="2915" t="e">
        <f t="shared" si="3"/>
        <v>#DIV/0!</v>
      </c>
      <c r="G22" s="2587"/>
      <c r="H22" s="2587"/>
      <c r="I22" s="2587"/>
    </row>
    <row r="23" spans="1:9" ht="16.5">
      <c r="A23" s="2586" t="s">
        <v>1237</v>
      </c>
      <c r="B23" s="2587"/>
      <c r="C23" s="2587"/>
      <c r="D23" s="2587"/>
      <c r="E23" s="2916" t="e">
        <f t="shared" si="2"/>
        <v>#DIV/0!</v>
      </c>
      <c r="F23" s="2916"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5" sqref="G25"/>
    </sheetView>
  </sheetViews>
  <sheetFormatPr defaultColWidth="12.625" defaultRowHeight="21.75" customHeight="1"/>
  <cols>
    <col min="1" max="2" width="12.625" style="1462"/>
    <col min="3" max="4" width="12.625" style="1462" customWidth="1"/>
    <col min="5" max="9" width="12.625" style="1462"/>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577" t="str">
        <f>项目基本情况!B1</f>
        <v>北京市房地产市场价值预评估</v>
      </c>
      <c r="B2" s="3577"/>
      <c r="C2" s="3577"/>
      <c r="D2" s="3577"/>
      <c r="E2" s="3577"/>
      <c r="F2" s="3577"/>
      <c r="G2" s="3577"/>
      <c r="H2" s="3577"/>
      <c r="I2" s="3577"/>
      <c r="J2" s="2842"/>
    </row>
    <row r="3" spans="1:15" ht="12.75">
      <c r="A3" s="3580" t="s">
        <v>1710</v>
      </c>
      <c r="B3" s="3581"/>
      <c r="C3" s="3581"/>
      <c r="D3" s="3581"/>
      <c r="E3" s="3581"/>
      <c r="F3" s="3581"/>
      <c r="G3" s="3581"/>
      <c r="H3" s="3581"/>
      <c r="I3" s="3581"/>
      <c r="J3" s="2843"/>
    </row>
    <row r="4" spans="1:15" ht="14.25">
      <c r="A4" s="2711" t="s">
        <v>1711</v>
      </c>
      <c r="B4" s="2711" t="s">
        <v>1712</v>
      </c>
      <c r="C4" s="2712" t="s">
        <v>2947</v>
      </c>
      <c r="D4" s="2712" t="s">
        <v>2948</v>
      </c>
      <c r="E4" s="3526" t="s">
        <v>1713</v>
      </c>
      <c r="F4" s="3564"/>
      <c r="G4" s="3564"/>
      <c r="H4" s="3564"/>
      <c r="I4" s="3565"/>
      <c r="J4" s="2844"/>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557" t="s">
        <v>1714</v>
      </c>
      <c r="B5" s="3557">
        <v>25</v>
      </c>
      <c r="C5" s="3566">
        <v>5</v>
      </c>
      <c r="D5" s="3579">
        <f>10-C5</f>
        <v>5</v>
      </c>
      <c r="E5" s="12" t="s">
        <v>1715</v>
      </c>
      <c r="F5" s="2087"/>
      <c r="G5" s="2087"/>
      <c r="H5" s="2087"/>
      <c r="I5" s="2082"/>
      <c r="J5" s="2844"/>
    </row>
    <row r="6" spans="1:15" ht="12.75">
      <c r="A6" s="3557"/>
      <c r="B6" s="3557"/>
      <c r="C6" s="3582"/>
      <c r="D6" s="3579"/>
      <c r="E6" s="12" t="s">
        <v>1716</v>
      </c>
      <c r="F6" s="2087"/>
      <c r="G6" s="2087"/>
      <c r="H6" s="2087"/>
      <c r="I6" s="2082"/>
      <c r="J6" s="2844"/>
    </row>
    <row r="7" spans="1:15" ht="12.75">
      <c r="A7" s="3557"/>
      <c r="B7" s="3557"/>
      <c r="C7" s="3567"/>
      <c r="D7" s="3579"/>
      <c r="E7" s="12" t="s">
        <v>1717</v>
      </c>
      <c r="F7" s="2087"/>
      <c r="G7" s="2087"/>
      <c r="H7" s="2087"/>
      <c r="I7" s="2082"/>
      <c r="J7" s="2844"/>
    </row>
    <row r="8" spans="1:15" ht="12.75">
      <c r="A8" s="3557" t="s">
        <v>1718</v>
      </c>
      <c r="B8" s="3557">
        <v>15</v>
      </c>
      <c r="C8" s="3566"/>
      <c r="D8" s="3579"/>
      <c r="E8" s="12" t="s">
        <v>1719</v>
      </c>
      <c r="F8" s="2087"/>
      <c r="G8" s="2087"/>
      <c r="H8" s="2087"/>
      <c r="I8" s="2082"/>
      <c r="J8" s="2844"/>
    </row>
    <row r="9" spans="1:15" ht="12.75">
      <c r="A9" s="3557"/>
      <c r="B9" s="3557"/>
      <c r="C9" s="3567"/>
      <c r="D9" s="3579"/>
      <c r="E9" s="12" t="s">
        <v>1720</v>
      </c>
      <c r="F9" s="2087"/>
      <c r="G9" s="2087"/>
      <c r="H9" s="2087"/>
      <c r="I9" s="2082"/>
      <c r="J9" s="2844"/>
    </row>
    <row r="10" spans="1:15" ht="12.75">
      <c r="A10" s="3557" t="s">
        <v>1721</v>
      </c>
      <c r="B10" s="3557">
        <v>15</v>
      </c>
      <c r="C10" s="3566"/>
      <c r="D10" s="3579"/>
      <c r="E10" s="12" t="s">
        <v>1722</v>
      </c>
      <c r="F10" s="2087"/>
      <c r="G10" s="2087"/>
      <c r="H10" s="2087"/>
      <c r="I10" s="2082"/>
      <c r="J10" s="2844"/>
    </row>
    <row r="11" spans="1:15" ht="12.75">
      <c r="A11" s="3557"/>
      <c r="B11" s="3557"/>
      <c r="C11" s="3567"/>
      <c r="D11" s="3579"/>
      <c r="E11" s="12" t="s">
        <v>1723</v>
      </c>
      <c r="F11" s="2087"/>
      <c r="G11" s="2087"/>
      <c r="H11" s="2087"/>
      <c r="I11" s="2082"/>
      <c r="J11" s="2844"/>
    </row>
    <row r="12" spans="1:15" ht="12.75">
      <c r="A12" s="3557" t="s">
        <v>1724</v>
      </c>
      <c r="B12" s="3557">
        <v>15</v>
      </c>
      <c r="C12" s="3566"/>
      <c r="D12" s="3579"/>
      <c r="E12" s="12" t="s">
        <v>1725</v>
      </c>
      <c r="F12" s="2087"/>
      <c r="G12" s="2087"/>
      <c r="H12" s="2087"/>
      <c r="I12" s="2082"/>
      <c r="J12" s="2844"/>
    </row>
    <row r="13" spans="1:15" ht="12.75">
      <c r="A13" s="3557"/>
      <c r="B13" s="3557"/>
      <c r="C13" s="3567"/>
      <c r="D13" s="3579"/>
      <c r="E13" s="12" t="s">
        <v>1726</v>
      </c>
      <c r="F13" s="2087"/>
      <c r="G13" s="2087"/>
      <c r="H13" s="2087"/>
      <c r="I13" s="2082"/>
      <c r="J13" s="2844"/>
    </row>
    <row r="14" spans="1:15" ht="12.75">
      <c r="A14" s="3557" t="s">
        <v>1727</v>
      </c>
      <c r="B14" s="3557">
        <v>30</v>
      </c>
      <c r="C14" s="3566"/>
      <c r="D14" s="3579"/>
      <c r="E14" s="12" t="s">
        <v>1728</v>
      </c>
      <c r="F14" s="2087"/>
      <c r="G14" s="2087"/>
      <c r="H14" s="2087"/>
      <c r="I14" s="2082"/>
      <c r="J14" s="2844"/>
    </row>
    <row r="15" spans="1:15" ht="12.75">
      <c r="A15" s="3557"/>
      <c r="B15" s="3557"/>
      <c r="C15" s="3582"/>
      <c r="D15" s="3579"/>
      <c r="E15" s="12" t="s">
        <v>1729</v>
      </c>
      <c r="F15" s="2087"/>
      <c r="G15" s="2087"/>
      <c r="H15" s="2087"/>
      <c r="I15" s="2082"/>
      <c r="J15" s="2844"/>
    </row>
    <row r="16" spans="1:15" ht="12.75">
      <c r="A16" s="3557"/>
      <c r="B16" s="3557"/>
      <c r="C16" s="3567"/>
      <c r="D16" s="3579"/>
      <c r="E16" s="12" t="s">
        <v>1730</v>
      </c>
      <c r="F16" s="2087"/>
      <c r="G16" s="2087"/>
      <c r="H16" s="2087"/>
      <c r="I16" s="2082"/>
      <c r="J16" s="2844"/>
    </row>
    <row r="17" spans="1:36" ht="15">
      <c r="A17" s="2713" t="s">
        <v>1731</v>
      </c>
      <c r="B17" s="2092"/>
      <c r="C17" s="2714">
        <f>SUM(C5:C16)</f>
        <v>5</v>
      </c>
      <c r="D17" s="2714">
        <f>SUM(D5:D16)</f>
        <v>5</v>
      </c>
      <c r="E17" s="2561"/>
      <c r="F17" s="2561"/>
      <c r="G17" s="2561"/>
      <c r="H17" s="2561"/>
      <c r="I17" s="2561"/>
      <c r="J17" s="2845"/>
    </row>
    <row r="18" spans="1:36" ht="30" customHeight="1" thickBot="1">
      <c r="A18" s="2715" t="s">
        <v>1732</v>
      </c>
      <c r="B18" s="2716"/>
      <c r="C18" s="2717">
        <f>ROUND(C17/SUM(C17:D17),2)</f>
        <v>0.5</v>
      </c>
      <c r="D18" s="2717">
        <f>1-C18</f>
        <v>0.5</v>
      </c>
      <c r="E18" s="3575" t="s">
        <v>2817</v>
      </c>
      <c r="F18" s="3576"/>
      <c r="G18" s="3576"/>
      <c r="H18" s="3576"/>
      <c r="I18" s="3576"/>
      <c r="J18" s="2845"/>
    </row>
    <row r="19" spans="1:36" ht="15">
      <c r="A19" s="2718" t="s">
        <v>1733</v>
      </c>
      <c r="B19" s="2719" t="s">
        <v>1734</v>
      </c>
      <c r="C19" s="2720">
        <f ca="1">SUMIF(INDIRECT("'"&amp;C4&amp;"'"&amp;"!A:A"),结果表!B19,INDIRECT("'"&amp;C4&amp;"'"&amp;"!B:B"))</f>
        <v>398883</v>
      </c>
      <c r="D19" s="2721">
        <f ca="1">SUMIF(INDIRECT("'"&amp;D4&amp;"'"&amp;"!A:A"),结果表!B19,INDIRECT("'"&amp;D4&amp;"'"&amp;"!B:B"))</f>
        <v>401252</v>
      </c>
      <c r="E19" s="2718" t="s">
        <v>1735</v>
      </c>
      <c r="F19" s="2719" t="s">
        <v>1734</v>
      </c>
      <c r="G19" s="2722">
        <f ca="1">ROUND(C19*$C$18+D19*$D$18,0)</f>
        <v>400068</v>
      </c>
      <c r="H19" s="2723" t="str">
        <f>'数据-取费表'!B3</f>
        <v>元</v>
      </c>
      <c r="I19" s="2771"/>
      <c r="J19" s="2846"/>
    </row>
    <row r="20" spans="1:36" ht="15">
      <c r="A20" s="2724"/>
      <c r="B20" s="1693" t="s">
        <v>1736</v>
      </c>
      <c r="C20" s="1917">
        <f ca="1">SUMIF(INDIRECT("'"&amp;C4&amp;"'"&amp;"!A:A"),结果表!B20,INDIRECT("'"&amp;C4&amp;"'"&amp;"!B:B"))</f>
        <v>6214</v>
      </c>
      <c r="D20" s="1920">
        <f ca="1">SUMIF(INDIRECT("'"&amp;D4&amp;"'"&amp;"!A:A"),结果表!B20,INDIRECT("'"&amp;D4&amp;"'"&amp;"!B:B"))</f>
        <v>6251</v>
      </c>
      <c r="E20" s="2724"/>
      <c r="F20" s="1693" t="s">
        <v>1736</v>
      </c>
      <c r="G20" s="2091">
        <f ca="1">ROUND(C20*$C$18+D20*$D$18,0)</f>
        <v>6233</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f ca="1">IF(C19&lt;D19,D19/C19-1,C19/D19-1)</f>
        <v>5.9390848945681807E-3</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568" t="s">
        <v>1739</v>
      </c>
      <c r="B24" s="2719" t="s">
        <v>1734</v>
      </c>
      <c r="C24" s="2722">
        <f>D30</f>
        <v>0</v>
      </c>
      <c r="D24" s="2674"/>
      <c r="E24" s="947"/>
      <c r="F24" s="947"/>
      <c r="G24" s="947"/>
      <c r="H24" s="947"/>
      <c r="I24" s="947"/>
      <c r="J24" s="2845"/>
    </row>
    <row r="25" spans="1:36" ht="21.75" customHeight="1">
      <c r="A25" s="3585"/>
      <c r="B25" s="1693"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1744</v>
      </c>
      <c r="B30" s="2773"/>
      <c r="C30" s="2773"/>
      <c r="D30" s="2773"/>
      <c r="E30" s="2740" t="s">
        <v>2821</v>
      </c>
      <c r="F30" s="2561"/>
      <c r="G30" s="2561"/>
      <c r="H30" s="2561"/>
      <c r="I30" s="2561"/>
      <c r="J30" s="2845"/>
    </row>
    <row r="31" spans="1:36" s="2838" customFormat="1" ht="26.45" customHeight="1" thickTop="1" thickBot="1">
      <c r="A31" s="2833"/>
      <c r="B31" s="2834"/>
      <c r="C31" s="2834"/>
      <c r="D31" s="2834"/>
      <c r="E31" s="2834"/>
      <c r="F31" s="2834"/>
      <c r="G31" s="2834"/>
      <c r="H31" s="2834"/>
      <c r="I31" s="2835" t="s">
        <v>2822</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楼面单价</v>
      </c>
      <c r="C32" s="2828">
        <f ca="1">IF(B32="总价",G19-C24,G20-C25)</f>
        <v>6233</v>
      </c>
      <c r="D32" s="2829" t="str">
        <f>IF(B32="楼面单价","元/平方米",H19)</f>
        <v>元/平方米</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取值（单价）</v>
      </c>
      <c r="G33" s="947"/>
      <c r="H33" s="947"/>
      <c r="I33" s="947"/>
      <c r="J33" s="2845"/>
    </row>
    <row r="34" spans="1:17" ht="15">
      <c r="A34" s="1466"/>
      <c r="B34" s="2746" t="s">
        <v>1748</v>
      </c>
      <c r="C34" s="2747">
        <f ca="1">IF(D33="自定义",F34,C32-C35)</f>
        <v>14454</v>
      </c>
      <c r="D34" s="2748">
        <f ca="1">IF(D33="自定义",ROUND(C34/C32,3),1-D35)</f>
        <v>2.319</v>
      </c>
      <c r="E34" s="1435" t="s">
        <v>1749</v>
      </c>
      <c r="F34" s="2749">
        <v>2000</v>
      </c>
      <c r="G34" s="947"/>
      <c r="H34" s="947"/>
      <c r="I34" s="947"/>
      <c r="J34" s="2845"/>
    </row>
    <row r="35" spans="1:17" ht="15.75" thickBot="1">
      <c r="A35" s="1467"/>
      <c r="B35" s="2750" t="s">
        <v>1750</v>
      </c>
      <c r="C35" s="2751">
        <f ca="1">IF(D33="自定义",F35,ROUND(C32*D35,0))</f>
        <v>-8221</v>
      </c>
      <c r="D35" s="2752">
        <f ca="1">IF(D33="自定义",ROUND(C35/C32,3),IF(D33="成本法成本比率",成本法!C56,IF(D33="收益法收益比率",收益法!J38,收益法!J41)))</f>
        <v>-1.319</v>
      </c>
      <c r="E35" s="2753" t="s">
        <v>1751</v>
      </c>
      <c r="F35" s="2754">
        <v>4460</v>
      </c>
      <c r="G35" s="947"/>
      <c r="H35" s="947"/>
      <c r="I35" s="947"/>
      <c r="J35" s="2845"/>
    </row>
    <row r="36" spans="1:17" ht="15.75" thickBot="1">
      <c r="A36" s="3568" t="s">
        <v>1752</v>
      </c>
      <c r="B36" s="1468" t="s">
        <v>1753</v>
      </c>
      <c r="C36" s="2755">
        <v>0</v>
      </c>
      <c r="D36" s="2756"/>
      <c r="E36" s="1680"/>
      <c r="F36" s="1680"/>
      <c r="G36" s="947"/>
      <c r="H36" s="947"/>
      <c r="I36" s="947"/>
      <c r="J36" s="2845"/>
    </row>
    <row r="37" spans="1:17" ht="15.75" thickBot="1">
      <c r="A37" s="3569"/>
      <c r="B37" s="2092" t="s">
        <v>1754</v>
      </c>
      <c r="C37" s="2757">
        <v>0</v>
      </c>
      <c r="D37" s="1311"/>
      <c r="E37" s="1311"/>
      <c r="F37" s="1680"/>
      <c r="G37" s="1311"/>
      <c r="H37" s="1311"/>
      <c r="I37" s="1311"/>
      <c r="J37" s="2849"/>
    </row>
    <row r="38" spans="1:17" ht="15.75" thickBot="1">
      <c r="A38" s="3570"/>
      <c r="B38" s="1469" t="s">
        <v>1755</v>
      </c>
      <c r="C38" s="2758">
        <v>0</v>
      </c>
      <c r="D38" s="2759" t="s">
        <v>1756</v>
      </c>
      <c r="E38" s="1311"/>
      <c r="F38" s="1680"/>
      <c r="G38" s="1311"/>
      <c r="H38" s="1311"/>
      <c r="I38" s="1311"/>
      <c r="J38" s="2849"/>
    </row>
    <row r="39" spans="1:17" ht="15">
      <c r="A39" s="2724" t="s">
        <v>1757</v>
      </c>
      <c r="B39" s="2760" t="s">
        <v>1741</v>
      </c>
      <c r="C39" s="2761" t="s">
        <v>1742</v>
      </c>
      <c r="D39" s="2761" t="s">
        <v>1758</v>
      </c>
      <c r="E39" s="2762" t="s">
        <v>1743</v>
      </c>
      <c r="F39" s="1680"/>
      <c r="G39" s="1311"/>
      <c r="H39" s="1311"/>
      <c r="I39" s="1311"/>
      <c r="J39" s="2849"/>
    </row>
    <row r="40" spans="1:17" ht="14.25">
      <c r="A40" s="2763" t="s">
        <v>1759</v>
      </c>
      <c r="B40" s="2764"/>
      <c r="C40" s="2765"/>
      <c r="D40" s="2765"/>
      <c r="E40" s="2766"/>
      <c r="F40" s="1680"/>
      <c r="G40" s="1311"/>
      <c r="H40" s="1311"/>
      <c r="I40" s="1311"/>
      <c r="J40" s="2849"/>
    </row>
    <row r="41" spans="1:17" ht="14.25">
      <c r="A41" s="2763" t="s">
        <v>1760</v>
      </c>
      <c r="B41" s="2764"/>
      <c r="C41" s="2765"/>
      <c r="D41" s="2765"/>
      <c r="E41" s="2766"/>
      <c r="F41" s="1680"/>
      <c r="G41" s="1311"/>
      <c r="H41" s="1311"/>
      <c r="I41" s="1311"/>
      <c r="J41" s="2849"/>
    </row>
    <row r="42" spans="1:17" ht="15" thickBot="1">
      <c r="A42" s="2767"/>
      <c r="B42" s="2768"/>
      <c r="C42" s="2769"/>
      <c r="D42" s="2769"/>
      <c r="E42" s="2754"/>
      <c r="F42" s="1680"/>
      <c r="G42" s="1311"/>
      <c r="H42" s="1311"/>
      <c r="I42" s="1311"/>
      <c r="J42" s="2849"/>
    </row>
    <row r="43" spans="1:17" ht="12.75">
      <c r="A43" s="2975"/>
      <c r="B43" s="2975"/>
      <c r="C43" s="2975"/>
      <c r="D43" s="2975"/>
      <c r="E43" s="2975"/>
      <c r="F43" s="2974"/>
      <c r="G43" s="2974"/>
      <c r="H43" s="2974"/>
      <c r="I43" s="2661"/>
      <c r="J43" s="2850"/>
    </row>
    <row r="44" spans="1:17" ht="18.75">
      <c r="A44" s="1471" t="s">
        <v>1761</v>
      </c>
      <c r="B44" s="1472"/>
      <c r="C44" s="1472"/>
      <c r="D44" s="1473"/>
      <c r="E44" s="1473"/>
      <c r="F44" s="1474"/>
      <c r="G44" s="1474"/>
      <c r="H44" s="1474"/>
      <c r="I44" s="2839" t="s">
        <v>2816</v>
      </c>
      <c r="J44" s="2851"/>
      <c r="K44" s="1475" t="s">
        <v>1762</v>
      </c>
      <c r="L44" s="1476"/>
      <c r="M44" s="1476"/>
      <c r="N44" s="1476"/>
      <c r="O44" s="1476"/>
      <c r="P44" s="1476"/>
      <c r="Q44" s="1308"/>
    </row>
    <row r="45" spans="1:17" ht="14.25" customHeight="1" thickBot="1">
      <c r="A45" s="3572" t="s">
        <v>1763</v>
      </c>
      <c r="B45" s="3573"/>
      <c r="C45" s="3532"/>
      <c r="D45" s="246">
        <f ca="1">ROUND(I102*F45,0)</f>
        <v>400096</v>
      </c>
      <c r="E45" s="1542" t="s">
        <v>1764</v>
      </c>
      <c r="F45" s="2559">
        <v>1</v>
      </c>
      <c r="G45" s="2560" t="s">
        <v>1765</v>
      </c>
      <c r="H45" s="947"/>
      <c r="I45" s="947"/>
      <c r="J45" s="2845"/>
      <c r="K45" s="3626" t="s">
        <v>2746</v>
      </c>
      <c r="L45" s="3626"/>
      <c r="M45" s="3626"/>
      <c r="N45" s="3626"/>
      <c r="O45" s="3626"/>
      <c r="P45" s="3626"/>
      <c r="Q45" s="1308"/>
    </row>
    <row r="46" spans="1:17" ht="14.25" customHeight="1">
      <c r="A46" s="3561" t="s">
        <v>1767</v>
      </c>
      <c r="B46" s="3562"/>
      <c r="C46" s="3562"/>
      <c r="D46" s="3562"/>
      <c r="E46" s="3562"/>
      <c r="F46" s="3562"/>
      <c r="G46" s="3563"/>
      <c r="H46" s="2977"/>
      <c r="I46" s="947"/>
      <c r="J46" s="2845"/>
      <c r="K46" s="2534">
        <v>1</v>
      </c>
      <c r="L46" s="3627" t="s">
        <v>2747</v>
      </c>
      <c r="M46" s="3627"/>
      <c r="N46" s="3628" t="str">
        <f>项目基本情况!B1</f>
        <v>北京市房地产市场价值预评估</v>
      </c>
      <c r="O46" s="3628"/>
      <c r="P46" s="3628"/>
      <c r="Q46" s="1308"/>
    </row>
    <row r="47" spans="1:17" ht="12" customHeight="1">
      <c r="A47" s="38" t="s">
        <v>1769</v>
      </c>
      <c r="B47" s="39"/>
      <c r="C47" s="40"/>
      <c r="D47" s="1099" t="s">
        <v>1770</v>
      </c>
      <c r="E47" s="235" t="s">
        <v>1771</v>
      </c>
      <c r="F47" s="41" t="s">
        <v>1772</v>
      </c>
      <c r="G47" s="2562" t="s">
        <v>1773</v>
      </c>
      <c r="H47" s="2977"/>
      <c r="I47" s="947"/>
      <c r="J47" s="2845"/>
      <c r="K47" s="2534">
        <v>2</v>
      </c>
      <c r="L47" s="3627" t="s">
        <v>2748</v>
      </c>
      <c r="M47" s="3627"/>
      <c r="N47" s="3629">
        <f>'数据-取费表'!B2</f>
        <v>40002</v>
      </c>
      <c r="O47" s="3629"/>
      <c r="P47" s="3629"/>
      <c r="Q47" s="1308"/>
    </row>
    <row r="48" spans="1:17" ht="25.5">
      <c r="A48" s="3571" t="s">
        <v>1775</v>
      </c>
      <c r="B48" s="3525"/>
      <c r="C48" s="3525"/>
      <c r="D48" s="12">
        <f ca="1">IF(H48="情况1",0,IF(H48="情况2",D52,IF(H48="情况3",D53,IF(H48="情况4",D54))))</f>
        <v>22005</v>
      </c>
      <c r="E48" s="2090" t="str">
        <f>IF(H48="情况4","(销售额-原购置价)×税（费）率","销售额×税（费）率")</f>
        <v>销售额×税（费）率</v>
      </c>
      <c r="F48" s="2563">
        <f>IF(H48="情况1","免征",'数据-取费表'!E29)</f>
        <v>5.5000000000000007E-2</v>
      </c>
      <c r="G48" s="2564" t="s">
        <v>1776</v>
      </c>
      <c r="H48" s="2565" t="s">
        <v>1777</v>
      </c>
      <c r="I48" s="2977"/>
      <c r="J48" s="2852"/>
      <c r="K48" s="2534">
        <v>3</v>
      </c>
      <c r="L48" s="3627" t="s">
        <v>2749</v>
      </c>
      <c r="M48" s="3627"/>
      <c r="N48" s="3628">
        <f ca="1">I102</f>
        <v>400096</v>
      </c>
      <c r="O48" s="3628"/>
      <c r="P48" s="3628"/>
      <c r="Q48" s="1308"/>
    </row>
    <row r="49" spans="1:17" ht="25.5" customHeight="1">
      <c r="A49" s="2089" t="s">
        <v>1779</v>
      </c>
      <c r="B49" s="3564" t="s">
        <v>1780</v>
      </c>
      <c r="C49" s="3564"/>
      <c r="D49" s="2566">
        <v>0</v>
      </c>
      <c r="E49" s="261" t="s">
        <v>1781</v>
      </c>
      <c r="F49" s="2567" t="s">
        <v>48</v>
      </c>
      <c r="G49" s="3621"/>
      <c r="H49" s="2568" t="s">
        <v>2823</v>
      </c>
      <c r="I49" s="2569"/>
      <c r="J49" s="2853"/>
      <c r="K49" s="2534">
        <v>4</v>
      </c>
      <c r="L49" s="3627" t="str">
        <f>IF(项目基本情况!F5="房地产抵押价值","房地产抵押价值","抵押担保权已注销时的房地产抵押价值")</f>
        <v>抵押担保权已注销时的房地产抵押价值</v>
      </c>
      <c r="M49" s="3627"/>
      <c r="N49" s="3628" t="str">
        <f>IF(项目基本情况!F5="房地产抵押价值",I110,I112)</f>
        <v>——</v>
      </c>
      <c r="O49" s="3628"/>
      <c r="P49" s="3628"/>
      <c r="Q49" s="1308"/>
    </row>
    <row r="50" spans="1:17" ht="25.5" customHeight="1">
      <c r="A50" s="2079"/>
      <c r="B50" s="3564" t="s">
        <v>1782</v>
      </c>
      <c r="C50" s="3564"/>
      <c r="D50" s="2570"/>
      <c r="E50" s="269"/>
      <c r="F50" s="2567"/>
      <c r="G50" s="3622"/>
      <c r="H50" s="2571" t="s">
        <v>2742</v>
      </c>
      <c r="I50" s="2569"/>
      <c r="J50" s="2853"/>
      <c r="K50" s="3627" t="s">
        <v>2750</v>
      </c>
      <c r="L50" s="3627"/>
      <c r="M50" s="3627"/>
      <c r="N50" s="3627"/>
      <c r="O50" s="3627"/>
      <c r="P50" s="3627"/>
      <c r="Q50" s="1308"/>
    </row>
    <row r="51" spans="1:17" ht="20.45" customHeight="1">
      <c r="A51" s="2572"/>
      <c r="B51" s="3564" t="s">
        <v>1784</v>
      </c>
      <c r="C51" s="3564"/>
      <c r="D51" s="1099"/>
      <c r="E51" s="264"/>
      <c r="F51" s="2567"/>
      <c r="G51" s="3623"/>
      <c r="H51" s="2571" t="s">
        <v>2743</v>
      </c>
      <c r="I51" s="2569"/>
      <c r="J51" s="2853"/>
      <c r="K51" s="2535" t="s">
        <v>2751</v>
      </c>
      <c r="L51" s="3627" t="s">
        <v>2752</v>
      </c>
      <c r="M51" s="3627"/>
      <c r="N51" s="2535" t="s">
        <v>2753</v>
      </c>
      <c r="O51" s="2535" t="s">
        <v>2754</v>
      </c>
      <c r="P51" s="2535" t="s">
        <v>2755</v>
      </c>
      <c r="Q51" s="1308"/>
    </row>
    <row r="52" spans="1:17" ht="24" customHeight="1">
      <c r="A52" s="2080" t="s">
        <v>1790</v>
      </c>
      <c r="B52" s="3564" t="s">
        <v>1791</v>
      </c>
      <c r="C52" s="3564"/>
      <c r="D52" s="1099">
        <f ca="1">ROUND(D45*'数据-取费表'!E29/(1+'数据-取费表'!F30),0)</f>
        <v>22005</v>
      </c>
      <c r="E52" s="2090" t="s">
        <v>1792</v>
      </c>
      <c r="F52" s="2573">
        <f>'数据-取费表'!E29</f>
        <v>5.5000000000000007E-2</v>
      </c>
      <c r="G52" s="2574"/>
      <c r="H52" s="947"/>
      <c r="I52" s="2978"/>
      <c r="J52" s="2853"/>
      <c r="K52" s="2534">
        <v>1</v>
      </c>
      <c r="L52" s="3594" t="s">
        <v>2756</v>
      </c>
      <c r="M52" s="3594"/>
      <c r="N52" s="2536">
        <f ca="1">D48</f>
        <v>22005</v>
      </c>
      <c r="O52" s="2534" t="str">
        <f>E48</f>
        <v>销售额×税（费）率</v>
      </c>
      <c r="P52" s="2537">
        <f>F48</f>
        <v>5.5000000000000007E-2</v>
      </c>
      <c r="Q52" s="1308"/>
    </row>
    <row r="53" spans="1:17" ht="12" customHeight="1">
      <c r="A53" s="2080" t="s">
        <v>1794</v>
      </c>
      <c r="B53" s="3526" t="s">
        <v>2835</v>
      </c>
      <c r="C53" s="3565"/>
      <c r="D53" s="1099">
        <f ca="1">ROUND(D45*'数据-取费表'!E29/(1+'数据-取费表'!F30),0)</f>
        <v>22005</v>
      </c>
      <c r="E53" s="2090" t="s">
        <v>1792</v>
      </c>
      <c r="F53" s="2573">
        <f>'数据-取费表'!E29</f>
        <v>5.5000000000000007E-2</v>
      </c>
      <c r="G53" s="2574"/>
      <c r="H53" s="947"/>
      <c r="I53" s="2978"/>
      <c r="J53" s="2853"/>
      <c r="K53" s="2534">
        <v>2</v>
      </c>
      <c r="L53" s="3594" t="s">
        <v>2757</v>
      </c>
      <c r="M53" s="3594"/>
      <c r="N53" s="2536">
        <f t="shared" ref="N53:P54" si="1">D55</f>
        <v>0</v>
      </c>
      <c r="O53" s="2534" t="str">
        <f t="shared" si="1"/>
        <v>销售额×税（费）率</v>
      </c>
      <c r="P53" s="2537" t="str">
        <f t="shared" si="1"/>
        <v>免征</v>
      </c>
      <c r="Q53" s="1308"/>
    </row>
    <row r="54" spans="1:17" ht="12" customHeight="1">
      <c r="A54" s="2080" t="s">
        <v>1796</v>
      </c>
      <c r="B54" s="3526" t="s">
        <v>2836</v>
      </c>
      <c r="C54" s="3565"/>
      <c r="D54" s="1099">
        <f ca="1">C68</f>
        <v>22005</v>
      </c>
      <c r="E54" s="264" t="s">
        <v>1797</v>
      </c>
      <c r="F54" s="2573">
        <f>'数据-取费表'!E29</f>
        <v>5.5000000000000007E-2</v>
      </c>
      <c r="G54" s="2574"/>
      <c r="H54" s="2979"/>
      <c r="I54" s="2978"/>
      <c r="J54" s="2853"/>
      <c r="K54" s="2534">
        <v>3</v>
      </c>
      <c r="L54" s="3594" t="s">
        <v>2758</v>
      </c>
      <c r="M54" s="3594"/>
      <c r="N54" s="2536">
        <f t="shared" si="1"/>
        <v>0</v>
      </c>
      <c r="O54" s="2534" t="str">
        <f t="shared" si="1"/>
        <v>增值额×税（费）率</v>
      </c>
      <c r="P54" s="2538" t="str">
        <f t="shared" si="1"/>
        <v>免征</v>
      </c>
      <c r="Q54" s="1308"/>
    </row>
    <row r="55" spans="1:17" ht="24" customHeight="1">
      <c r="A55" s="3524" t="s">
        <v>1799</v>
      </c>
      <c r="B55" s="3525"/>
      <c r="C55" s="3525"/>
      <c r="D55" s="12">
        <f>IF(H55="个人住宅",0,ROUND(D45*I55,0))</f>
        <v>0</v>
      </c>
      <c r="E55" s="2090" t="s">
        <v>1800</v>
      </c>
      <c r="F55" s="2573" t="str">
        <f>IF(H55="正常",I55,"免征")</f>
        <v>免征</v>
      </c>
      <c r="G55" s="2574"/>
      <c r="H55" s="2565" t="s">
        <v>2739</v>
      </c>
      <c r="I55" s="74">
        <f>'数据-取费表'!E37</f>
        <v>5.0000000000000001E-4</v>
      </c>
      <c r="J55" s="2853"/>
      <c r="K55" s="2534" t="str">
        <f>IF(H59="非个人房产","",4)</f>
        <v/>
      </c>
      <c r="L55" s="3594" t="str">
        <f>IF(H59="非个人房产","——","个人所得税")</f>
        <v>——</v>
      </c>
      <c r="M55" s="3594"/>
      <c r="N55" s="2539" t="str">
        <f>D59</f>
        <v>——</v>
      </c>
      <c r="O55" s="2540" t="str">
        <f>E59</f>
        <v>——</v>
      </c>
      <c r="P55" s="2541" t="str">
        <f>F59</f>
        <v>——</v>
      </c>
      <c r="Q55" s="1308"/>
    </row>
    <row r="56" spans="1:17" ht="24.75">
      <c r="A56" s="3524" t="s">
        <v>1802</v>
      </c>
      <c r="B56" s="3525"/>
      <c r="C56" s="3525"/>
      <c r="D56" s="12">
        <f>IF(H56="个人住宅",D57,D58)</f>
        <v>0</v>
      </c>
      <c r="E56" s="2090" t="s">
        <v>1803</v>
      </c>
      <c r="F56" s="2573" t="str">
        <f>IF(H56="正常",F58,"免征")</f>
        <v>免征</v>
      </c>
      <c r="G56" s="2575" t="s">
        <v>1804</v>
      </c>
      <c r="H56" s="2576" t="s">
        <v>2739</v>
      </c>
      <c r="I56" s="2980"/>
      <c r="J56" s="2853"/>
      <c r="K56" s="2534" t="str">
        <f>IF(项目基本情况!I6="上海银行",IF(K55="",4,K55+1),"")</f>
        <v/>
      </c>
      <c r="L56" s="3608" t="str">
        <f>IF(项目基本情况!I6="上海银行","其他处置费用","")</f>
        <v/>
      </c>
      <c r="M56" s="3609"/>
      <c r="N56" s="2536" t="str">
        <f>IF(项目基本情况!I6="上海银行",N69,"")</f>
        <v/>
      </c>
      <c r="O56" s="3608" t="str">
        <f>IF(项目基本情况!I6="上海银行","包含处置中涉及的律师、诉讼、拍卖、评估等费用","")</f>
        <v/>
      </c>
      <c r="P56" s="3620"/>
      <c r="Q56" s="1308"/>
    </row>
    <row r="57" spans="1:17" ht="12.75">
      <c r="A57" s="2080" t="s">
        <v>1779</v>
      </c>
      <c r="B57" s="3526" t="s">
        <v>1805</v>
      </c>
      <c r="C57" s="3565"/>
      <c r="D57" s="2566">
        <v>0</v>
      </c>
      <c r="E57" s="261" t="s">
        <v>1781</v>
      </c>
      <c r="F57" s="235"/>
      <c r="G57" s="2574"/>
      <c r="H57" s="2980"/>
      <c r="I57" s="2980"/>
      <c r="J57" s="2853"/>
      <c r="K57" s="3594">
        <f>IF(AND(K55="",K56=""),4,IF(项目基本情况!I6="上海银行",K56+1,K55+1))</f>
        <v>4</v>
      </c>
      <c r="L57" s="3594" t="s">
        <v>2759</v>
      </c>
      <c r="M57" s="2542" t="s">
        <v>2760</v>
      </c>
      <c r="N57" s="2543"/>
      <c r="O57" s="2544">
        <f ca="1">SUMIF(N52:N56,"&lt;9e307")</f>
        <v>22005</v>
      </c>
      <c r="P57" s="2545"/>
      <c r="Q57" s="1306" t="e">
        <f ca="1">O57/N49</f>
        <v>#VALUE!</v>
      </c>
    </row>
    <row r="58" spans="1:17" ht="24.75">
      <c r="A58" s="2080" t="s">
        <v>1790</v>
      </c>
      <c r="B58" s="3526" t="s">
        <v>1808</v>
      </c>
      <c r="C58" s="3564"/>
      <c r="D58" s="12">
        <f ca="1">IF(H58="转让取得",C81,C97)</f>
        <v>238158</v>
      </c>
      <c r="E58" s="2090" t="s">
        <v>1803</v>
      </c>
      <c r="F58" s="235" t="s">
        <v>48</v>
      </c>
      <c r="G58" s="2574"/>
      <c r="H58" s="2576" t="s">
        <v>1809</v>
      </c>
      <c r="I58" s="2980"/>
      <c r="J58" s="2853"/>
      <c r="K58" s="3594"/>
      <c r="L58" s="3594"/>
      <c r="M58" s="2542" t="s">
        <v>2761</v>
      </c>
      <c r="N58" s="2546"/>
      <c r="O58" s="2547" t="str">
        <f ca="1">IF(H19="元",NUMBERSTRING(INT(O57),2)&amp;"元整",NUMBERSTRING(INT(O57*10000),2)&amp;"元整")</f>
        <v>贰万贰仟零伍元整</v>
      </c>
      <c r="P58" s="2548"/>
      <c r="Q58" s="1308"/>
    </row>
    <row r="59" spans="1:17" ht="24.75" thickBot="1">
      <c r="A59" s="3548" t="s">
        <v>1811</v>
      </c>
      <c r="B59" s="3549"/>
      <c r="C59" s="3549"/>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3" t="s">
        <v>2814</v>
      </c>
      <c r="H59" s="2094" t="s">
        <v>2824</v>
      </c>
      <c r="I59" s="2882" t="s">
        <v>2825</v>
      </c>
      <c r="J59" s="2853"/>
      <c r="K59" s="3592">
        <f>K57+1</f>
        <v>5</v>
      </c>
      <c r="L59" s="3594" t="s">
        <v>2762</v>
      </c>
      <c r="M59" s="2534" t="s">
        <v>2760</v>
      </c>
      <c r="N59" s="2549"/>
      <c r="O59" s="2550" t="e">
        <f ca="1">N49-O57</f>
        <v>#VALUE!</v>
      </c>
      <c r="P59" s="2551"/>
      <c r="Q59" s="1308"/>
    </row>
    <row r="60" spans="1:17" ht="12" customHeight="1">
      <c r="A60" s="1457"/>
      <c r="B60" s="1461"/>
      <c r="C60" s="1461"/>
      <c r="D60" s="1461"/>
      <c r="E60" s="812"/>
      <c r="F60" s="2981"/>
      <c r="G60" s="2981"/>
      <c r="H60" s="2982"/>
      <c r="I60" s="31"/>
      <c r="K60" s="3593"/>
      <c r="L60" s="3594"/>
      <c r="M60" s="2542" t="s">
        <v>2761</v>
      </c>
      <c r="N60" s="2546"/>
      <c r="O60" s="2547" t="e">
        <f ca="1">IF(H19="元",NUMBERSTRING(INT(O59),2)&amp;"元整",NUMBERSTRING(INT(O59*10000),2)&amp;"元整")</f>
        <v>#VALUE!</v>
      </c>
      <c r="P60" s="2548"/>
      <c r="Q60" s="1308"/>
    </row>
    <row r="61" spans="1:17" ht="13.5" thickBot="1">
      <c r="A61" s="3574" t="s">
        <v>1813</v>
      </c>
      <c r="B61" s="3574"/>
      <c r="C61" s="3574"/>
      <c r="D61" s="3574"/>
      <c r="E61" s="3574"/>
      <c r="F61" s="2981"/>
      <c r="G61" s="2981"/>
      <c r="H61" s="2983"/>
      <c r="I61" s="31"/>
      <c r="K61" s="2534">
        <f>K59+1</f>
        <v>6</v>
      </c>
      <c r="L61" s="3594" t="s">
        <v>2763</v>
      </c>
      <c r="M61" s="3594"/>
      <c r="N61" s="2552"/>
      <c r="O61" s="2553" t="e">
        <f ca="1">IF(H19="元",ROUND(O59/项目基本情况!C12,0),ROUND(O59*10000/项目基本情况!C12,0))</f>
        <v>#VALUE!</v>
      </c>
      <c r="P61" s="2554"/>
      <c r="Q61" s="1308"/>
    </row>
    <row r="62" spans="1:17" ht="12.75">
      <c r="A62" s="3583" t="s">
        <v>1815</v>
      </c>
      <c r="B62" s="3584"/>
      <c r="C62" s="1607"/>
      <c r="D62" s="1607" t="s">
        <v>1816</v>
      </c>
      <c r="E62" s="45" t="s">
        <v>1817</v>
      </c>
      <c r="F62" s="2981"/>
      <c r="G62" s="2981"/>
      <c r="H62" s="2983"/>
      <c r="I62" s="31"/>
      <c r="K62" s="2555"/>
      <c r="L62" s="2555"/>
      <c r="M62" s="2555"/>
      <c r="N62" s="2555"/>
      <c r="O62" s="2555"/>
      <c r="P62" s="2555"/>
      <c r="Q62" s="1308"/>
    </row>
    <row r="63" spans="1:17" ht="12.75">
      <c r="A63" s="46">
        <v>1</v>
      </c>
      <c r="B63" s="47" t="s">
        <v>1818</v>
      </c>
      <c r="C63" s="2784">
        <f ca="1">ROUND((C64+C65)/(1+'数据-取费表'!F30),0)</f>
        <v>400096</v>
      </c>
      <c r="D63" s="47"/>
      <c r="E63" s="48"/>
      <c r="F63" s="2981"/>
      <c r="G63" s="2981"/>
      <c r="H63" s="2983"/>
      <c r="I63" s="31"/>
      <c r="K63" s="3610" t="s">
        <v>2764</v>
      </c>
      <c r="L63" s="2556" t="s">
        <v>2765</v>
      </c>
      <c r="M63" s="2556" t="e">
        <f>IF(N49&gt;10000,N49*0.5%,IF(AND(N49&gt;1000,N49&lt;=10000),N49*1%,IF(AND(N49&gt;100,N49&lt;=1000),N49*3%,IF(AND(N49&gt;10,N49&lt;=100),N49*5%,N49*8%))))</f>
        <v>#VALUE!</v>
      </c>
      <c r="N63" s="2557" t="e">
        <f>ROUND(M63,1)</f>
        <v>#VALUE!</v>
      </c>
      <c r="O63" s="2555"/>
      <c r="P63" s="2555"/>
      <c r="Q63" s="1308"/>
    </row>
    <row r="64" spans="1:17" ht="12.75">
      <c r="A64" s="49" t="s">
        <v>71</v>
      </c>
      <c r="B64" s="50" t="s">
        <v>1821</v>
      </c>
      <c r="C64" s="2785">
        <f ca="1">D45</f>
        <v>400096</v>
      </c>
      <c r="D64" s="50" t="s">
        <v>41</v>
      </c>
      <c r="E64" s="52"/>
      <c r="F64" s="2981"/>
      <c r="G64" s="2981"/>
      <c r="H64" s="2983"/>
      <c r="I64" s="31"/>
      <c r="K64" s="3610"/>
      <c r="L64" s="2556" t="s">
        <v>2766</v>
      </c>
      <c r="M64" s="2556" t="e">
        <f>IF(N49&gt;2000,N49*0.5%,IF(AND(N49&gt;1000,N49&lt;=2000),N49*0.6%,IF(AND(N49&gt;500,N49&lt;=1000),N49*0.7%,IF(AND(N49&gt;200,N49&lt;=500),N49*0.8%,IF(AND(N49&gt;100,N49&lt;=200),N49*0.9%,IF(AND(N49&gt;50,N49&lt;=100),N49*1%,IF(AND(N49&gt;20,N49&lt;=50),N49*1.5%,IF(AND(N49&gt;10,N49&lt;=20),N49*2%,IF(AND(N49&gt;1,N49&lt;=10),N49*2.5%)))))))))</f>
        <v>#VALUE!</v>
      </c>
      <c r="N64" s="2557" t="e">
        <f t="shared" ref="N64:N65" si="2">ROUND(M64,1)</f>
        <v>#VALUE!</v>
      </c>
      <c r="O64" s="2555" t="s">
        <v>2767</v>
      </c>
      <c r="P64" s="2555"/>
      <c r="Q64" s="1308"/>
    </row>
    <row r="65" spans="1:36" ht="12.75">
      <c r="A65" s="49" t="s">
        <v>72</v>
      </c>
      <c r="B65" s="50" t="s">
        <v>1824</v>
      </c>
      <c r="C65" s="2786"/>
      <c r="D65" s="50"/>
      <c r="E65" s="52"/>
      <c r="F65" s="2981"/>
      <c r="G65" s="2981"/>
      <c r="H65" s="2983"/>
      <c r="I65" s="31"/>
      <c r="K65" s="3610"/>
      <c r="L65" s="2556" t="s">
        <v>2768</v>
      </c>
      <c r="M65" s="2556" t="e">
        <f>IF(N49&gt;1000,N49*0.1%,IF(AND(N49&gt;500,N49&lt;=1000),N49*0.5%,IF(AND(N49&gt;50,N49&lt;=500),N49*1%,IF(AND(N49&gt;1,N49&lt;=50),N49*1.5%))))</f>
        <v>#VALUE!</v>
      </c>
      <c r="N65" s="2557" t="e">
        <f t="shared" si="2"/>
        <v>#VALUE!</v>
      </c>
      <c r="O65" s="2555" t="s">
        <v>2767</v>
      </c>
      <c r="P65" s="2555"/>
      <c r="Q65" s="1308"/>
    </row>
    <row r="66" spans="1:36" ht="12.75">
      <c r="A66" s="53" t="s">
        <v>47</v>
      </c>
      <c r="B66" s="54" t="s">
        <v>1826</v>
      </c>
      <c r="C66" s="2787"/>
      <c r="D66" s="54" t="s">
        <v>41</v>
      </c>
      <c r="E66" s="1316" t="s">
        <v>1827</v>
      </c>
      <c r="F66" s="2981"/>
      <c r="G66" s="2981"/>
      <c r="H66" s="2983"/>
      <c r="I66" s="31"/>
      <c r="K66" s="3610"/>
      <c r="L66" s="2556" t="s">
        <v>2769</v>
      </c>
      <c r="M66" s="2556" t="e">
        <f>N49*0.5%</f>
        <v>#VALUE!</v>
      </c>
      <c r="N66" s="2557" t="e">
        <f>IF(M66&gt;0.5,0.5,ROUND(M66,0))</f>
        <v>#VALUE!</v>
      </c>
      <c r="O66" s="2555" t="s">
        <v>2770</v>
      </c>
      <c r="P66" s="2555"/>
      <c r="Q66" s="1308"/>
    </row>
    <row r="67" spans="1:36" ht="12.75">
      <c r="A67" s="53" t="s">
        <v>42</v>
      </c>
      <c r="B67" s="54" t="s">
        <v>1830</v>
      </c>
      <c r="C67" s="2788">
        <f ca="1">C63-C66</f>
        <v>400096</v>
      </c>
      <c r="D67" s="50" t="s">
        <v>41</v>
      </c>
      <c r="E67" s="52"/>
      <c r="F67" s="2981"/>
      <c r="G67" s="2981"/>
      <c r="H67" s="2983"/>
      <c r="I67" s="31"/>
      <c r="K67" s="3610"/>
      <c r="L67" s="2556" t="s">
        <v>2771</v>
      </c>
      <c r="M67" s="2556" t="e">
        <f>IF(N49&gt;=10000,(8.25+(N49-10000)*0.01%),IF(AND(N49&gt;=8000,N49&lt;10000),(7.85+(N49-8000)*0.02%),IF(AND(N49&gt;=5000,N49&lt;8000),(6.65+(N49-5000)*0.04%),IF(AND(N49&gt;=2000,N49&lt;5000),(4.25+(PN49-2000)*0.08%),IF(AND(N49&gt;=1000,N49&lt;2000),(2.75+(N49-1000)*0.15%),IF(AND(N49&gt;=100,N49&lt;1000),(0.5+(N49-100)*0.25%),IF(AND(N49&gt;0,N49&lt;100),N49*0.5%)))))))</f>
        <v>#VALUE!</v>
      </c>
      <c r="N67" s="2557" t="e">
        <f>ROUND(M67*0.9,1)</f>
        <v>#VALUE!</v>
      </c>
      <c r="O67" s="2555"/>
      <c r="P67" s="2555"/>
      <c r="Q67" s="1308"/>
    </row>
    <row r="68" spans="1:36" ht="13.5" thickBot="1">
      <c r="A68" s="55" t="s">
        <v>46</v>
      </c>
      <c r="B68" s="56" t="s">
        <v>1832</v>
      </c>
      <c r="C68" s="2789">
        <f ca="1">IF(C67&lt;=0,0,ROUND(C67*D68,0))</f>
        <v>22005</v>
      </c>
      <c r="D68" s="2240">
        <f>'数据-取费表'!E29</f>
        <v>5.5000000000000007E-2</v>
      </c>
      <c r="E68" s="57"/>
      <c r="F68" s="2981"/>
      <c r="G68" s="2981"/>
      <c r="H68" s="2983"/>
      <c r="I68" s="31"/>
      <c r="K68" s="3610"/>
      <c r="L68" s="2556" t="s">
        <v>2772</v>
      </c>
      <c r="M68" s="2556" t="e">
        <f>IF(N49&gt;10000,N49*0.5%,IF(AND(N49&gt;5000,N49&lt;=10000),N49*1%,IF(AND(N49&gt;1000,N49&lt;=5000),N49*2%,IF(AND(N49&gt;200,N49&lt;=1000),N49*3%,N49*5%))))</f>
        <v>#VALUE!</v>
      </c>
      <c r="N68" s="2557" t="e">
        <f>ROUND(M68,1)</f>
        <v>#VALUE!</v>
      </c>
      <c r="O68" s="2555"/>
      <c r="P68" s="2555"/>
      <c r="Q68" s="1308"/>
    </row>
    <row r="69" spans="1:36" s="1465" customFormat="1" ht="7.5" customHeight="1">
      <c r="A69" s="1477"/>
      <c r="B69" s="1478"/>
      <c r="C69" s="1479"/>
      <c r="D69" s="1480"/>
      <c r="E69" s="1481"/>
      <c r="F69" s="812"/>
      <c r="G69" s="812"/>
      <c r="H69" s="1470"/>
      <c r="I69" s="1461"/>
      <c r="J69" s="2841"/>
      <c r="K69" s="3610"/>
      <c r="L69" s="2556" t="s">
        <v>54</v>
      </c>
      <c r="M69" s="2556"/>
      <c r="N69" s="2557" t="e">
        <f>ROUND(SUM(N63:N68),0)</f>
        <v>#VALUE!</v>
      </c>
      <c r="O69" s="2558" t="e">
        <f>N69/N49</f>
        <v>#VALUE!</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586" t="s">
        <v>1835</v>
      </c>
      <c r="B70" s="3587"/>
      <c r="C70" s="3587"/>
      <c r="D70" s="3587"/>
      <c r="E70" s="3587"/>
      <c r="F70" s="3587"/>
      <c r="G70" s="3587"/>
      <c r="H70" s="3587"/>
      <c r="I70" s="1482"/>
      <c r="J70" s="2854"/>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583" t="s">
        <v>1815</v>
      </c>
      <c r="B71" s="3584"/>
      <c r="C71" s="1607"/>
      <c r="D71" s="1607" t="s">
        <v>1816</v>
      </c>
      <c r="E71" s="58" t="s">
        <v>1817</v>
      </c>
      <c r="F71" s="59"/>
      <c r="G71" s="59"/>
      <c r="H71" s="60"/>
      <c r="I71" s="1485"/>
      <c r="J71" s="2855"/>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88">
        <f ca="1">ROUND(D45/(1+'数据-取费表'!F30),0)</f>
        <v>400096</v>
      </c>
      <c r="D72" s="50" t="s">
        <v>41</v>
      </c>
      <c r="E72" s="12" t="s">
        <v>1837</v>
      </c>
      <c r="F72" s="2087"/>
      <c r="G72" s="2087"/>
      <c r="H72" s="62"/>
      <c r="I72" s="1485"/>
      <c r="J72" s="2855"/>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88">
        <f ca="1">C74+C78</f>
        <v>2000</v>
      </c>
      <c r="D73" s="50" t="s">
        <v>41</v>
      </c>
      <c r="E73" s="2086"/>
      <c r="F73" s="2087"/>
      <c r="G73" s="2087"/>
      <c r="H73" s="62"/>
      <c r="I73" s="1485"/>
      <c r="J73" s="2855"/>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6"/>
      <c r="F74" s="2087"/>
      <c r="G74" s="2087"/>
      <c r="H74" s="62"/>
      <c r="I74" s="1485"/>
      <c r="J74" s="2855"/>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6"/>
      <c r="D75" s="50" t="s">
        <v>41</v>
      </c>
      <c r="E75" s="64" t="s">
        <v>1841</v>
      </c>
      <c r="F75" s="2792" t="s">
        <v>1842</v>
      </c>
      <c r="G75" s="64" t="s">
        <v>1843</v>
      </c>
      <c r="H75" s="2793"/>
      <c r="I75" s="9"/>
      <c r="J75" s="285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4">
        <v>0.05</v>
      </c>
      <c r="E76" s="3526" t="s">
        <v>1845</v>
      </c>
      <c r="F76" s="3564"/>
      <c r="G76" s="3564"/>
      <c r="H76" s="3578"/>
      <c r="I76" s="1485"/>
      <c r="J76" s="2855"/>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5">
        <f>'数据-取费表'!E36+'数据-取费表'!E37</f>
        <v>3.0499999999999999E-2</v>
      </c>
      <c r="E77" s="12" t="s">
        <v>1847</v>
      </c>
      <c r="F77" s="2093"/>
      <c r="G77" s="1486" t="s">
        <v>1848</v>
      </c>
      <c r="H77" s="2088" t="str">
        <f>IF(G77="个人买卖住房","免征印花税"," ")</f>
        <v xml:space="preserve"> </v>
      </c>
      <c r="I77" s="1485"/>
      <c r="J77" s="2855"/>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6">
        <f ca="1">ROUND(D45*D78/(1+'数据-取费表'!F30),0)</f>
        <v>2000</v>
      </c>
      <c r="D78" s="2797">
        <f>'数据-取费表'!E31</f>
        <v>5.000000000000001E-3</v>
      </c>
      <c r="E78" s="3558" t="s">
        <v>1850</v>
      </c>
      <c r="F78" s="3559"/>
      <c r="G78" s="3559"/>
      <c r="H78" s="3560"/>
      <c r="I78" s="1487"/>
      <c r="J78" s="285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88">
        <f ca="1">C72-C73</f>
        <v>398096</v>
      </c>
      <c r="D79" s="50" t="s">
        <v>41</v>
      </c>
      <c r="E79" s="2086"/>
      <c r="F79" s="2087"/>
      <c r="G79" s="2087"/>
      <c r="H79" s="62"/>
      <c r="I79" s="1485"/>
      <c r="J79" s="285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798">
        <f ca="1">IF(C79&lt;=0,0,C79/C73)</f>
        <v>199.048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5"/>
      <c r="J80" s="2855"/>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799">
        <f ca="1">ROUND(IF(C79&lt;=0,0,IF(C80&gt;=200%,C79*60%-C73*35%,IF(C80&gt;=100%,C79*50%-C73*15%,IF(C80&gt;=50%,C79*40%-C73*5%,IF(C80&lt;50%,C79*30%,0))))),0)</f>
        <v>238158</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586" t="s">
        <v>1854</v>
      </c>
      <c r="B83" s="3587"/>
      <c r="C83" s="3587"/>
      <c r="D83" s="3587"/>
      <c r="E83" s="3587"/>
      <c r="F83" s="3587"/>
      <c r="G83" s="3587"/>
      <c r="H83" s="3587"/>
      <c r="I83" s="9"/>
      <c r="J83" s="285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583" t="s">
        <v>1815</v>
      </c>
      <c r="B84" s="3584"/>
      <c r="C84" s="1607"/>
      <c r="D84" s="1607" t="s">
        <v>1816</v>
      </c>
      <c r="E84" s="58" t="s">
        <v>1817</v>
      </c>
      <c r="F84" s="59"/>
      <c r="G84" s="59"/>
      <c r="H84" s="72"/>
      <c r="I84" s="9"/>
      <c r="J84" s="2856"/>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88">
        <f ca="1">ROUND(D45/(1+'数据-取费表'!F30),0)</f>
        <v>400096</v>
      </c>
      <c r="D85" s="50" t="s">
        <v>41</v>
      </c>
      <c r="E85" s="2086" t="s">
        <v>1837</v>
      </c>
      <c r="F85" s="2087"/>
      <c r="G85" s="2087"/>
      <c r="H85" s="73"/>
      <c r="I85" s="9"/>
      <c r="J85" s="285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88">
        <f ca="1">IF(H88="仅含出让金",C87+C90+C91+C92+C93+C94,C87+C91+C92+C93+C94)</f>
        <v>2000</v>
      </c>
      <c r="D86" s="2800"/>
      <c r="E86" s="2086"/>
      <c r="F86" s="2087"/>
      <c r="G86" s="2087"/>
      <c r="H86" s="73"/>
      <c r="I86" s="9"/>
      <c r="J86" s="285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6">
        <f>C88+C89</f>
        <v>0</v>
      </c>
      <c r="D87" s="2797"/>
      <c r="E87" s="2083"/>
      <c r="F87" s="2084"/>
      <c r="G87" s="2084"/>
      <c r="H87" s="2085"/>
      <c r="I87" s="9"/>
      <c r="J87" s="285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1"/>
      <c r="D88" s="2797"/>
      <c r="E88" s="74" t="s">
        <v>1857</v>
      </c>
      <c r="F88" s="2084"/>
      <c r="G88" s="75" t="s">
        <v>1858</v>
      </c>
      <c r="H88" s="1488"/>
      <c r="I88" s="9"/>
      <c r="J88" s="2856"/>
      <c r="K88" s="2972"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6">
        <f>ROUND(C88*D89,0)</f>
        <v>0</v>
      </c>
      <c r="D89" s="2797">
        <f>'数据-取费表'!E36+'数据-取费表'!E37</f>
        <v>3.0499999999999999E-2</v>
      </c>
      <c r="E89" s="74" t="s">
        <v>1859</v>
      </c>
      <c r="F89" s="2084"/>
      <c r="G89" s="2084"/>
      <c r="H89" s="2085"/>
      <c r="I89" s="9"/>
      <c r="J89" s="285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1"/>
      <c r="D90" s="2797"/>
      <c r="E90" s="74" t="str">
        <f>IF(H88="-","土地取得成本中已包含该笔费用"," ")</f>
        <v xml:space="preserve"> </v>
      </c>
      <c r="F90" s="2084"/>
      <c r="G90" s="3619" t="s">
        <v>2734</v>
      </c>
      <c r="H90" s="3619"/>
      <c r="I90" s="9"/>
      <c r="J90" s="2856"/>
      <c r="K90" s="2972"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6">
        <f>IF(H91="——",成本法!C33,I91)</f>
        <v>0</v>
      </c>
      <c r="D91" s="2797"/>
      <c r="E91" s="3558" t="s">
        <v>1862</v>
      </c>
      <c r="F91" s="3559"/>
      <c r="G91" s="3559"/>
      <c r="H91" s="1489" t="s">
        <v>1863</v>
      </c>
      <c r="I91" s="1490"/>
      <c r="J91" s="285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6">
        <f>ROUND((C87+C90+C91)*D92,0)</f>
        <v>0</v>
      </c>
      <c r="D92" s="2840">
        <v>0.1</v>
      </c>
      <c r="E92" s="3558" t="s">
        <v>1865</v>
      </c>
      <c r="F92" s="3559"/>
      <c r="G92" s="3559"/>
      <c r="H92" s="3560"/>
      <c r="I92" s="9"/>
      <c r="J92" s="2856"/>
      <c r="K92" s="2973"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6">
        <f ca="1">ROUND(D45*D93/(1+'数据-取费表'!F30),0)</f>
        <v>2000</v>
      </c>
      <c r="D93" s="2797">
        <f>'数据-取费表'!E31</f>
        <v>5.000000000000001E-3</v>
      </c>
      <c r="E93" s="3558" t="s">
        <v>1850</v>
      </c>
      <c r="F93" s="3559"/>
      <c r="G93" s="3559"/>
      <c r="H93" s="3560"/>
      <c r="I93" s="9"/>
      <c r="J93" s="2856"/>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6">
        <f>ROUND((C87+C90+C91)*D94,0)</f>
        <v>0</v>
      </c>
      <c r="D94" s="2797">
        <v>0.2</v>
      </c>
      <c r="E94" s="3558" t="s">
        <v>1867</v>
      </c>
      <c r="F94" s="3559"/>
      <c r="G94" s="3559"/>
      <c r="H94" s="3560"/>
      <c r="I94" s="9"/>
      <c r="J94" s="2856"/>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88">
        <f ca="1">ROUND(C85-C86,0)</f>
        <v>398096</v>
      </c>
      <c r="D95" s="50" t="s">
        <v>41</v>
      </c>
      <c r="E95" s="2086"/>
      <c r="F95" s="2087"/>
      <c r="G95" s="2087"/>
      <c r="H95" s="73"/>
      <c r="I95" s="9"/>
      <c r="J95" s="285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798">
        <f ca="1">IF(C95&lt;=0,0,C95/C86)</f>
        <v>199.048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799">
        <f ca="1">ROUND(IF(C95&lt;=0,0,IF(C96&gt;=200%,C95*60%-C86*35%,IF(C96&gt;=100%,C95*50%-C86*15%,IF(C96&gt;=50%,C95*40%-C86*5%,IF(C96&lt;50%,C95*30%,0))))),0)</f>
        <v>238158</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605" t="s">
        <v>1869</v>
      </c>
      <c r="B99" s="3606"/>
      <c r="C99" s="3606"/>
      <c r="D99" s="3607"/>
      <c r="E99" s="1461"/>
      <c r="F99" s="3614" t="s">
        <v>1870</v>
      </c>
      <c r="G99" s="3615"/>
      <c r="H99" s="3615"/>
      <c r="I99" s="3616"/>
      <c r="J99" s="2859"/>
    </row>
    <row r="100" spans="1:36" ht="15">
      <c r="A100" s="3617" t="s">
        <v>1871</v>
      </c>
      <c r="B100" s="3618"/>
      <c r="C100" s="1307" t="str">
        <f>C4</f>
        <v>成本法</v>
      </c>
      <c r="D100" s="2807" t="str">
        <f>D4</f>
        <v>比较法-住宅</v>
      </c>
      <c r="E100" s="1461"/>
      <c r="F100" s="3529" t="s">
        <v>2778</v>
      </c>
      <c r="G100" s="3530"/>
      <c r="H100" s="3529" t="s">
        <v>2779</v>
      </c>
      <c r="I100" s="3528"/>
      <c r="J100" s="2860"/>
    </row>
    <row r="101" spans="1:36" ht="12.75">
      <c r="A101" s="3597" t="s">
        <v>2811</v>
      </c>
      <c r="B101" s="2305" t="str">
        <f>IF(H19="元","总价（元）","总价（万元）")</f>
        <v>总价（元）</v>
      </c>
      <c r="C101" s="1307">
        <f ca="1">C19</f>
        <v>398883</v>
      </c>
      <c r="D101" s="2807">
        <f ca="1">D19</f>
        <v>401252</v>
      </c>
      <c r="E101" s="1461"/>
      <c r="F101" s="3529" t="str">
        <f>项目基本情况!I1</f>
        <v>北京市房地产</v>
      </c>
      <c r="G101" s="3530"/>
      <c r="H101" s="3527">
        <f>项目基本情况!C12</f>
        <v>64.19</v>
      </c>
      <c r="I101" s="3528"/>
      <c r="J101" s="2860"/>
    </row>
    <row r="102" spans="1:36" ht="12.75">
      <c r="A102" s="3597"/>
      <c r="B102" s="2305" t="s">
        <v>2812</v>
      </c>
      <c r="C102" s="2808">
        <f ca="1">C20</f>
        <v>6214</v>
      </c>
      <c r="D102" s="2809">
        <f ca="1">D20</f>
        <v>6251</v>
      </c>
      <c r="E102" s="1461"/>
      <c r="F102" s="3539" t="s">
        <v>2808</v>
      </c>
      <c r="G102" s="3540"/>
      <c r="H102" s="2817" t="str">
        <f>C106</f>
        <v>总价（元）</v>
      </c>
      <c r="I102" s="2818">
        <f ca="1">H121</f>
        <v>400096</v>
      </c>
      <c r="J102" s="2860"/>
    </row>
    <row r="103" spans="1:36" ht="12.75">
      <c r="A103" s="3597" t="s">
        <v>2813</v>
      </c>
      <c r="B103" s="2243" t="str">
        <f>B101</f>
        <v>总价（元）</v>
      </c>
      <c r="C103" s="2812">
        <f ca="1">H121</f>
        <v>400096</v>
      </c>
      <c r="D103" s="2810"/>
      <c r="E103" s="1461"/>
      <c r="F103" s="3539"/>
      <c r="G103" s="3540"/>
      <c r="H103" s="2817" t="s">
        <v>2781</v>
      </c>
      <c r="I103" s="52">
        <f ca="1">I121</f>
        <v>6233</v>
      </c>
      <c r="J103" s="2844"/>
    </row>
    <row r="104" spans="1:36" ht="13.5" thickBot="1">
      <c r="A104" s="3598"/>
      <c r="B104" s="2814" t="s">
        <v>2812</v>
      </c>
      <c r="C104" s="2815">
        <f ca="1">I121</f>
        <v>6233</v>
      </c>
      <c r="D104" s="2816"/>
      <c r="E104" s="1461"/>
      <c r="F104" s="3539"/>
      <c r="G104" s="3540"/>
      <c r="H104" s="3599"/>
      <c r="I104" s="3600"/>
      <c r="J104" s="2861"/>
    </row>
    <row r="105" spans="1:36" ht="15">
      <c r="A105" s="3605" t="s">
        <v>1872</v>
      </c>
      <c r="B105" s="3606"/>
      <c r="C105" s="3606"/>
      <c r="D105" s="3607"/>
      <c r="E105" s="1461"/>
      <c r="F105" s="3603" t="s">
        <v>2782</v>
      </c>
      <c r="G105" s="3604"/>
      <c r="H105" s="2819" t="str">
        <f>C108</f>
        <v>总额（元）</v>
      </c>
      <c r="I105" s="2818">
        <f>SUMIF(I106:I108,"&lt;9E307")</f>
        <v>0</v>
      </c>
      <c r="J105" s="2860"/>
    </row>
    <row r="106" spans="1:36" ht="14.25">
      <c r="A106" s="3539" t="s">
        <v>2805</v>
      </c>
      <c r="B106" s="3540"/>
      <c r="C106" s="2817" t="str">
        <f>B101</f>
        <v>总价（元）</v>
      </c>
      <c r="D106" s="2818">
        <f ca="1">H121</f>
        <v>400096</v>
      </c>
      <c r="E106" s="1461"/>
      <c r="F106" s="3541" t="s">
        <v>2783</v>
      </c>
      <c r="G106" s="3542"/>
      <c r="H106" s="2819" t="str">
        <f>C109</f>
        <v>总额（元）</v>
      </c>
      <c r="I106" s="2820">
        <f>IF(D36="同一抵押权人同一抵押物续贷",C36&amp;"（续贷，未扣减，详见特别提示）",C36)</f>
        <v>0</v>
      </c>
      <c r="J106" s="2844"/>
      <c r="L106" s="1464" t="str">
        <f>IF(D123=0,"本次评估不存在"&amp;A123&amp;"。","本次评估"&amp;A123&amp;"为"&amp;D123&amp;"元人民币。")</f>
        <v>本次评估不存在——。</v>
      </c>
      <c r="M106" s="1461"/>
      <c r="N106" s="1461"/>
      <c r="O106" s="1461"/>
      <c r="P106" s="1461"/>
      <c r="Q106" s="1461"/>
    </row>
    <row r="107" spans="1:36" ht="12.75">
      <c r="A107" s="3539"/>
      <c r="B107" s="3540"/>
      <c r="C107" s="2817" t="s">
        <v>2806</v>
      </c>
      <c r="D107" s="52">
        <f ca="1">I121</f>
        <v>6233</v>
      </c>
      <c r="E107" s="1461"/>
      <c r="F107" s="3541" t="s">
        <v>2784</v>
      </c>
      <c r="G107" s="3542"/>
      <c r="H107" s="2819" t="str">
        <f>C110</f>
        <v>总额（元）</v>
      </c>
      <c r="I107" s="52">
        <f>C37</f>
        <v>0</v>
      </c>
      <c r="J107" s="2844"/>
    </row>
    <row r="108" spans="1:36" ht="12.75">
      <c r="A108" s="3546" t="s">
        <v>2782</v>
      </c>
      <c r="B108" s="3547"/>
      <c r="C108" s="2819" t="str">
        <f>IF(H19="元","总额（元）","总额（万元）")</f>
        <v>总额（元）</v>
      </c>
      <c r="D108" s="2818">
        <f>IF(D36="正常操作",I106+I107+I108,I107+I108)</f>
        <v>0</v>
      </c>
      <c r="E108" s="1461"/>
      <c r="F108" s="3541" t="s">
        <v>2809</v>
      </c>
      <c r="G108" s="3542"/>
      <c r="H108" s="2819" t="str">
        <f>C111</f>
        <v>总额（元）</v>
      </c>
      <c r="I108" s="52">
        <f>C38</f>
        <v>0</v>
      </c>
      <c r="J108" s="2844"/>
    </row>
    <row r="109" spans="1:36" ht="12.75">
      <c r="A109" s="3541" t="s">
        <v>2783</v>
      </c>
      <c r="B109" s="3542"/>
      <c r="C109" s="2819" t="str">
        <f>C108</f>
        <v>总额（元）</v>
      </c>
      <c r="D109" s="52">
        <f>IF(D36="同一抵押权人同一抵押物续贷",C36&amp;"（未扣减，详见特别提示）",C36)</f>
        <v>0</v>
      </c>
      <c r="E109" s="1461"/>
      <c r="F109" s="3539"/>
      <c r="G109" s="3540"/>
      <c r="H109" s="3601"/>
      <c r="I109" s="3602"/>
      <c r="J109" s="2862"/>
    </row>
    <row r="110" spans="1:36" ht="28.5" customHeight="1">
      <c r="A110" s="3541" t="s">
        <v>2807</v>
      </c>
      <c r="B110" s="3542"/>
      <c r="C110" s="2819" t="str">
        <f>C108</f>
        <v>总额（元）</v>
      </c>
      <c r="D110" s="52">
        <f>C37</f>
        <v>0</v>
      </c>
      <c r="E110" s="1461"/>
      <c r="F110" s="3531" t="str">
        <f>IF(项目基本情况!F5="已注销","——","3.房地产抵押价值")</f>
        <v>3.房地产抵押价值</v>
      </c>
      <c r="G110" s="3532"/>
      <c r="H110" s="2805" t="str">
        <f>C112</f>
        <v>总价（元）</v>
      </c>
      <c r="I110" s="2818">
        <f ca="1">IF(F110="——","——",I102-I105)</f>
        <v>400096</v>
      </c>
      <c r="J110" s="2860"/>
    </row>
    <row r="111" spans="1:36" ht="12.75">
      <c r="A111" s="3541" t="s">
        <v>2786</v>
      </c>
      <c r="B111" s="3542"/>
      <c r="C111" s="2819" t="str">
        <f>C108</f>
        <v>总额（元）</v>
      </c>
      <c r="D111" s="52">
        <f>C38</f>
        <v>0</v>
      </c>
      <c r="E111" s="1461"/>
      <c r="F111" s="3630"/>
      <c r="G111" s="3631"/>
      <c r="H111" s="2817" t="s">
        <v>2781</v>
      </c>
      <c r="I111" s="2821">
        <f ca="1">D113</f>
        <v>6233</v>
      </c>
      <c r="J111" s="2863"/>
    </row>
    <row r="112" spans="1:36" ht="26.25" customHeight="1">
      <c r="A112" s="3539" t="str">
        <f>IF(项目基本情况!F5="已注销","——","3.房地产抵押价值")</f>
        <v>3.房地产抵押价值</v>
      </c>
      <c r="B112" s="3540"/>
      <c r="C112" s="2817" t="str">
        <f>B101</f>
        <v>总价（元）</v>
      </c>
      <c r="D112" s="2818">
        <f ca="1">IF(A112="——","——",D106-D108)</f>
        <v>400096</v>
      </c>
      <c r="E112" s="1461"/>
      <c r="F112" s="3531" t="str">
        <f>IF(项目基本情况!F5="已注销及未注销","4.抵押担保权已注销时的房地产抵押价值",IF(项目基本情况!F5="已注销","3.抵押担保权已注销时的房地产抵押价值","——"))</f>
        <v>——</v>
      </c>
      <c r="G112" s="3532"/>
      <c r="H112" s="2805" t="str">
        <f>C114</f>
        <v>总价（元）</v>
      </c>
      <c r="I112" s="2818" t="str">
        <f>IF(F112="——","——",I102-I107-I108)</f>
        <v>——</v>
      </c>
      <c r="J112" s="2860"/>
    </row>
    <row r="113" spans="1:16" ht="12.75">
      <c r="A113" s="3539"/>
      <c r="B113" s="3540"/>
      <c r="C113" s="2817" t="s">
        <v>2774</v>
      </c>
      <c r="D113" s="52">
        <f ca="1">ROUND(IF(D112=D106,D107,IF(H19="元",D112/项目基本情况!C12,D112*10000/项目基本情况!C12)),0)</f>
        <v>6233</v>
      </c>
      <c r="E113" s="1461"/>
      <c r="F113" s="3630"/>
      <c r="G113" s="3631"/>
      <c r="H113" s="2817" t="s">
        <v>2810</v>
      </c>
      <c r="I113" s="52" t="str">
        <f>D115</f>
        <v>——</v>
      </c>
      <c r="J113" s="2844"/>
    </row>
    <row r="114" spans="1:16" ht="12.75">
      <c r="A114" s="3539" t="str">
        <f>IF(项目基本情况!F5="已注销及未注销","4.抵押担保权已注销时的房地产抵押价值",IF(项目基本情况!F5="已注销","3.抵押担保权已注销时的房地产抵押价值","——"))</f>
        <v>——</v>
      </c>
      <c r="B114" s="3540"/>
      <c r="C114" s="2817" t="str">
        <f>B101</f>
        <v>总价（元）</v>
      </c>
      <c r="D114" s="2818" t="str">
        <f>IF(A114="——","——",D106-D110-D111)</f>
        <v>——</v>
      </c>
      <c r="E114" s="1461"/>
      <c r="F114" s="3531" t="str">
        <f>IF(项目基本情况!G5="抵押净值",IF(OR(项目基本情况!F5="已注销",项目基本情况!F5="房地产抵押价值"),"4.抵押净值","5.抵押净值"),"——")</f>
        <v>——</v>
      </c>
      <c r="G114" s="3532"/>
      <c r="H114" s="2817" t="str">
        <f>C116</f>
        <v>总价（元）</v>
      </c>
      <c r="I114" s="2818" t="str">
        <f>IF(F114="——","——",O59)</f>
        <v>——</v>
      </c>
      <c r="J114" s="2860"/>
    </row>
    <row r="115" spans="1:16" ht="13.5" thickBot="1">
      <c r="A115" s="3539"/>
      <c r="B115" s="3540"/>
      <c r="C115" s="2817" t="s">
        <v>2774</v>
      </c>
      <c r="D115" s="52" t="str">
        <f>IF(A114="——","——",ROUND(IF(D114=D106,D107,IF(H19="元",D114/项目基本情况!C12,D114*10000/项目基本情况!C12)),0))</f>
        <v>——</v>
      </c>
      <c r="E115" s="1461"/>
      <c r="F115" s="3533"/>
      <c r="G115" s="3534"/>
      <c r="H115" s="2822" t="s">
        <v>2774</v>
      </c>
      <c r="I115" s="2806" t="str">
        <f ca="1">D117</f>
        <v>——</v>
      </c>
      <c r="J115" s="2844"/>
    </row>
    <row r="116" spans="1:16" ht="15.75">
      <c r="A116" s="3539" t="str">
        <f>IF(项目基本情况!G5="抵押净值",IF(OR(项目基本情况!F5="已注销",项目基本情况!F5="房地产抵押价值"),"4.抵押净值","5.抵押净值"),"——")</f>
        <v>——</v>
      </c>
      <c r="B116" s="3540"/>
      <c r="C116" s="2817" t="str">
        <f>B101</f>
        <v>总价（元）</v>
      </c>
      <c r="D116" s="2818" t="str">
        <f>IF(A116="——","——",O59)</f>
        <v>——</v>
      </c>
      <c r="E116" s="1461"/>
      <c r="F116" s="3625"/>
      <c r="G116" s="3625"/>
      <c r="H116" s="3589"/>
      <c r="I116" s="3589"/>
      <c r="J116" s="2864"/>
      <c r="O116" s="32"/>
      <c r="P116" s="32"/>
    </row>
    <row r="117" spans="1:16" ht="13.5" thickBot="1">
      <c r="A117" s="3544"/>
      <c r="B117" s="3545"/>
      <c r="C117" s="2822" t="s">
        <v>2774</v>
      </c>
      <c r="D117" s="2806" t="str">
        <f ca="1">IF(D116=D112,D113,IF(A116="——","——",O61))</f>
        <v>——</v>
      </c>
      <c r="E117" s="1461"/>
      <c r="F117" s="3523" t="str">
        <f>IF(B32="总价","（以上估价结果中单价为总价除以建筑面积得出）","（以上估价结果中总价为楼面单价乘以建筑面积得出）")</f>
        <v>（以上估价结果中总价为楼面单价乘以建筑面积得出）</v>
      </c>
      <c r="G117" s="3523"/>
      <c r="H117" s="3523"/>
      <c r="I117" s="3523"/>
      <c r="J117" s="2865"/>
      <c r="O117" s="32"/>
      <c r="P117" s="32"/>
    </row>
    <row r="118" spans="1:16" ht="15">
      <c r="A118" s="3590" t="s">
        <v>1873</v>
      </c>
      <c r="B118" s="3591"/>
      <c r="C118" s="3591"/>
      <c r="D118" s="3591"/>
      <c r="E118" s="3591"/>
      <c r="F118" s="3591"/>
      <c r="G118" s="3591"/>
      <c r="H118" s="3591"/>
      <c r="I118" s="3591"/>
      <c r="J118" s="2866"/>
    </row>
    <row r="119" spans="1:16" ht="12.75">
      <c r="A119" s="3524" t="s">
        <v>2792</v>
      </c>
      <c r="B119" s="3550" t="s">
        <v>2802</v>
      </c>
      <c r="C119" s="3550" t="s">
        <v>2803</v>
      </c>
      <c r="D119" s="3612" t="s">
        <v>2794</v>
      </c>
      <c r="E119" s="3613"/>
      <c r="F119" s="3525" t="s">
        <v>2804</v>
      </c>
      <c r="G119" s="3525"/>
      <c r="H119" s="3525" t="s">
        <v>2795</v>
      </c>
      <c r="I119" s="3611"/>
      <c r="J119" s="2844"/>
    </row>
    <row r="120" spans="1:16" ht="12.75">
      <c r="A120" s="3524"/>
      <c r="B120" s="3551"/>
      <c r="C120" s="3551"/>
      <c r="D120" s="2090" t="s">
        <v>2796</v>
      </c>
      <c r="E120" s="2090" t="s">
        <v>2801</v>
      </c>
      <c r="F120" s="2090" t="s">
        <v>2796</v>
      </c>
      <c r="G120" s="2090" t="s">
        <v>2797</v>
      </c>
      <c r="H120" s="2090" t="s">
        <v>2796</v>
      </c>
      <c r="I120" s="52" t="s">
        <v>2797</v>
      </c>
      <c r="J120" s="2844"/>
    </row>
    <row r="121" spans="1:16" ht="12.75">
      <c r="A121" s="2080" t="str">
        <f>项目基本情况!I1</f>
        <v>北京市房地产</v>
      </c>
      <c r="B121" s="2090">
        <f>项目基本情况!C12</f>
        <v>64.19</v>
      </c>
      <c r="C121" s="2090">
        <f>项目基本情况!C13</f>
        <v>0</v>
      </c>
      <c r="D121" s="2090">
        <f ca="1">ROUND(IF(B32="总价",C34,IF('数据-取费表'!B3="万元",E121*B121/10000,E121*B121)),0)</f>
        <v>927802</v>
      </c>
      <c r="E121" s="2090">
        <f ca="1">ROUND(IF(B32="楼面单价",C34,IF(H19="元",D121/B121,D121*10000/B121)),0)</f>
        <v>14454</v>
      </c>
      <c r="F121" s="2090">
        <f ca="1">ROUND(IF(B32="总价",C35,IF('数据-取费表'!B3="万元",G121*B121/10000,G121*B121)),0)</f>
        <v>-527706</v>
      </c>
      <c r="G121" s="2090">
        <f ca="1">ROUND(IF(B32="楼面单价",C35,IF(H19="元",F121/B121,F121*10000/B121)),0)</f>
        <v>-8221</v>
      </c>
      <c r="H121" s="2090">
        <f ca="1">ROUND(IF(B32="总价",C32,IF('数据-取费表'!B3="万元",I121*B121/10000,I121*B121)),0)</f>
        <v>400096</v>
      </c>
      <c r="I121" s="52">
        <f ca="1">ROUND(IF(B32="楼面单价",C32,IF(H19="元",H121/B121,H121*10000/B121)),0)</f>
        <v>6233</v>
      </c>
      <c r="J121" s="2844"/>
    </row>
    <row r="122" spans="1:16" ht="12.75">
      <c r="A122" s="3524" t="s">
        <v>2798</v>
      </c>
      <c r="B122" s="3525"/>
      <c r="C122" s="3525"/>
      <c r="D122" s="3552" t="str">
        <f ca="1">IF(H19="元",NUMBERSTRING(INT(D121),2)&amp;"元整",NUMBERSTRING(INT(D121*10000),2)&amp;"元整")</f>
        <v>玖拾贰万柒仟捌佰零贰元整</v>
      </c>
      <c r="E122" s="3595"/>
      <c r="F122" s="3552" t="e">
        <f ca="1">IF(H19="元",NUMBERSTRING(INT(F121),2)&amp;"元整",NUMBERSTRING(INT(F121*10000),2)&amp;"元整")</f>
        <v>#NUM!</v>
      </c>
      <c r="G122" s="3595"/>
      <c r="H122" s="3552" t="str">
        <f ca="1">IF(H19="元",NUMBERSTRING(INT(H121),2)&amp;"元整",NUMBERSTRING(INT(H121*10000),2)&amp;"元整")</f>
        <v>肆拾万零玖拾陆元整</v>
      </c>
      <c r="I122" s="3553"/>
      <c r="J122" s="2867"/>
    </row>
    <row r="123" spans="1:16" ht="12.75">
      <c r="A123" s="3529" t="str">
        <f>IF(项目基本情况!D5="房地产市场价值","——",MID(A108,3,LEN(A108)-2))</f>
        <v>——</v>
      </c>
      <c r="B123" s="3535"/>
      <c r="C123" s="3530"/>
      <c r="D123" s="3527">
        <f>I105</f>
        <v>0</v>
      </c>
      <c r="E123" s="3535"/>
      <c r="F123" s="3535"/>
      <c r="G123" s="3535"/>
      <c r="H123" s="3535"/>
      <c r="I123" s="3528"/>
      <c r="J123" s="2860"/>
    </row>
    <row r="124" spans="1:16" ht="12.75">
      <c r="A124" s="3596" t="s">
        <v>2798</v>
      </c>
      <c r="B124" s="3564"/>
      <c r="C124" s="3565"/>
      <c r="D124" s="3536">
        <f>H109</f>
        <v>0</v>
      </c>
      <c r="E124" s="3537"/>
      <c r="F124" s="3537"/>
      <c r="G124" s="3537"/>
      <c r="H124" s="3537"/>
      <c r="I124" s="3538"/>
      <c r="J124" s="2868"/>
    </row>
    <row r="125" spans="1:16" ht="12.75">
      <c r="A125" s="3539" t="str">
        <f>IF(项目基本情况!D5="房地产市场价值","——",MID(A112,3,LEN(A112)-2))</f>
        <v>——</v>
      </c>
      <c r="B125" s="3540"/>
      <c r="C125" s="3540"/>
      <c r="D125" s="3527">
        <f ca="1">I110</f>
        <v>400096</v>
      </c>
      <c r="E125" s="3535"/>
      <c r="F125" s="3535"/>
      <c r="G125" s="3535"/>
      <c r="H125" s="3535"/>
      <c r="I125" s="3528"/>
      <c r="J125" s="2860"/>
    </row>
    <row r="126" spans="1:16" ht="12.75">
      <c r="A126" s="3524" t="s">
        <v>2798</v>
      </c>
      <c r="B126" s="3525"/>
      <c r="C126" s="3525"/>
      <c r="D126" s="3536">
        <f ca="1">I111</f>
        <v>6233</v>
      </c>
      <c r="E126" s="3537"/>
      <c r="F126" s="3537"/>
      <c r="G126" s="3537"/>
      <c r="H126" s="3537"/>
      <c r="I126" s="3538"/>
      <c r="J126" s="2868"/>
    </row>
    <row r="127" spans="1:16" ht="13.5" thickBot="1">
      <c r="A127" s="3539" t="str">
        <f>IF(项目基本情况!D5="房地产市场价值","——",MID(A114,3,LEN(A114)-2))</f>
        <v>——</v>
      </c>
      <c r="B127" s="3540"/>
      <c r="C127" s="3540"/>
      <c r="D127" s="3572" t="str">
        <f>I112</f>
        <v>——</v>
      </c>
      <c r="E127" s="3573"/>
      <c r="F127" s="3573"/>
      <c r="G127" s="3573"/>
      <c r="H127" s="3573"/>
      <c r="I127" s="3624"/>
      <c r="J127" s="2860"/>
    </row>
    <row r="128" spans="1:16" ht="14.25" thickTop="1" thickBot="1">
      <c r="A128" s="3524" t="s">
        <v>2798</v>
      </c>
      <c r="B128" s="3525"/>
      <c r="C128" s="3526"/>
      <c r="D128" s="3588" t="str">
        <f>I113</f>
        <v>——</v>
      </c>
      <c r="E128" s="3588"/>
      <c r="F128" s="3588"/>
      <c r="G128" s="3588"/>
      <c r="H128" s="3588"/>
      <c r="I128" s="3588"/>
      <c r="J128" s="2868"/>
    </row>
    <row r="129" spans="1:10" ht="14.25" thickTop="1" thickBot="1">
      <c r="A129" s="3539" t="str">
        <f>IF(项目基本情况!D5="房地产市场价值","——",MID(F114,3,LEN(F114)-2))</f>
        <v>——</v>
      </c>
      <c r="B129" s="3540"/>
      <c r="C129" s="3527"/>
      <c r="D129" s="3543" t="str">
        <f>I114</f>
        <v>——</v>
      </c>
      <c r="E129" s="3543"/>
      <c r="F129" s="3543"/>
      <c r="G129" s="3543"/>
      <c r="H129" s="3543"/>
      <c r="I129" s="3543"/>
      <c r="J129" s="2860"/>
    </row>
    <row r="130" spans="1:10" ht="14.25" thickTop="1" thickBot="1">
      <c r="A130" s="3548" t="s">
        <v>2798</v>
      </c>
      <c r="B130" s="3549"/>
      <c r="C130" s="3549"/>
      <c r="D130" s="3554">
        <f>H116</f>
        <v>0</v>
      </c>
      <c r="E130" s="3555"/>
      <c r="F130" s="3555"/>
      <c r="G130" s="3555"/>
      <c r="H130" s="3555"/>
      <c r="I130" s="3556"/>
      <c r="J130" s="2868"/>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69"/>
    </row>
    <row r="132" spans="1:10" ht="13.5" thickBot="1">
      <c r="A132" s="3522" t="str">
        <f>IF(B32="总价","（以上估价结果中楼面单价为总价除以建筑面积得出）","（以上估价结果中总价为楼面单价乘以建筑面积得出）")</f>
        <v>（以上估价结果中总价为楼面单价乘以建筑面积得出）</v>
      </c>
      <c r="B132" s="3522"/>
      <c r="C132" s="3522"/>
      <c r="D132" s="3522"/>
      <c r="E132" s="3522"/>
      <c r="F132" s="3522"/>
      <c r="G132" s="3522"/>
      <c r="H132" s="3522"/>
      <c r="I132" s="3522"/>
      <c r="J132" s="2862"/>
    </row>
    <row r="133" spans="1:10" ht="21.75" customHeight="1">
      <c r="A133" s="1491" t="s">
        <v>1874</v>
      </c>
      <c r="B133" s="1492"/>
      <c r="C133" s="1493" t="s">
        <v>1875</v>
      </c>
      <c r="D133" s="1494"/>
      <c r="E133" s="1494"/>
      <c r="F133" s="1494"/>
      <c r="G133" s="1494"/>
      <c r="H133" s="1495"/>
      <c r="I133" s="1496"/>
      <c r="J133" s="2870"/>
    </row>
    <row r="134" spans="1:10" ht="21.75" customHeight="1">
      <c r="A134" s="1497">
        <v>1</v>
      </c>
      <c r="B134" s="1498"/>
      <c r="C134" s="1498"/>
      <c r="D134" s="1494"/>
      <c r="E134" s="1494"/>
      <c r="F134" s="1494"/>
      <c r="G134" s="1494"/>
      <c r="H134" s="1495"/>
      <c r="I134" s="1496"/>
      <c r="J134" s="2870"/>
    </row>
    <row r="135" spans="1:10" ht="21.75" customHeight="1">
      <c r="A135" s="1497">
        <v>2</v>
      </c>
      <c r="B135" s="1498"/>
      <c r="C135" s="1498"/>
      <c r="D135" s="1494"/>
      <c r="E135" s="1494"/>
      <c r="F135" s="1494"/>
      <c r="G135" s="1494"/>
      <c r="H135" s="1495"/>
      <c r="I135" s="1496"/>
      <c r="J135" s="2870"/>
    </row>
    <row r="136" spans="1:10" ht="21.75" customHeight="1">
      <c r="A136" s="1497">
        <v>3</v>
      </c>
      <c r="B136" s="1498"/>
      <c r="C136" s="1498"/>
      <c r="D136" s="1494"/>
      <c r="E136" s="1494"/>
      <c r="F136" s="32"/>
      <c r="G136" s="32"/>
      <c r="H136" s="32"/>
      <c r="I136" s="32"/>
      <c r="J136" s="2871"/>
    </row>
    <row r="137" spans="1:10" ht="21.75" customHeight="1">
      <c r="A137" s="1499"/>
      <c r="B137" s="1500"/>
      <c r="C137" s="1500"/>
      <c r="D137" s="1501"/>
      <c r="E137" s="1501"/>
      <c r="F137" s="1501"/>
      <c r="G137" s="1501"/>
      <c r="H137" s="1502"/>
      <c r="I137" s="1503"/>
      <c r="J137" s="2870"/>
    </row>
    <row r="138" spans="1:10" ht="21.75" customHeight="1">
      <c r="A138" s="1498"/>
      <c r="B138" s="1498"/>
      <c r="C138" s="1498"/>
      <c r="D138" s="1494"/>
      <c r="E138" s="1494"/>
      <c r="F138" s="1494"/>
      <c r="G138" s="1494"/>
      <c r="H138" s="1495"/>
      <c r="I138" s="659"/>
      <c r="J138" s="2871"/>
    </row>
    <row r="139" spans="1:10" ht="21.75" customHeight="1">
      <c r="A139" s="659"/>
      <c r="B139" s="659"/>
      <c r="C139" s="659"/>
      <c r="D139" s="659"/>
      <c r="E139" s="659"/>
      <c r="F139" s="1504" t="s">
        <v>1876</v>
      </c>
      <c r="G139" s="1505"/>
      <c r="H139" s="1505"/>
      <c r="I139" s="1506" t="s">
        <v>1877</v>
      </c>
      <c r="J139" s="2872"/>
    </row>
    <row r="140" spans="1:10" ht="21.75" customHeight="1">
      <c r="A140" s="659"/>
      <c r="B140" s="1507"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5"/>
      <c r="C142" s="1505"/>
      <c r="D142" s="1505"/>
      <c r="E142" s="1505"/>
      <c r="F142" s="1505"/>
      <c r="G142" s="1505"/>
      <c r="H142" s="1505"/>
      <c r="I142" s="1506" t="s">
        <v>1879</v>
      </c>
      <c r="J142" s="2872"/>
    </row>
    <row r="143" spans="1:10" ht="21.75" customHeight="1">
      <c r="A143" s="659"/>
      <c r="B143" s="1507" t="s">
        <v>1880</v>
      </c>
      <c r="C143" s="659"/>
      <c r="D143" s="659"/>
      <c r="E143" s="659"/>
      <c r="F143" s="659"/>
      <c r="G143" s="659"/>
      <c r="H143" s="659"/>
      <c r="I143" s="659"/>
      <c r="J143" s="2871"/>
    </row>
    <row r="144" spans="1:10" ht="21.75" customHeight="1">
      <c r="A144" s="659"/>
      <c r="B144" s="1507"/>
      <c r="C144" s="659"/>
      <c r="D144" s="659"/>
      <c r="E144" s="659"/>
      <c r="F144" s="659"/>
      <c r="G144" s="659"/>
      <c r="H144" s="659"/>
      <c r="I144" s="659"/>
      <c r="J144" s="2871"/>
    </row>
    <row r="145" spans="1:36" ht="21.75" customHeight="1">
      <c r="A145" s="659"/>
      <c r="B145" s="1505"/>
      <c r="C145" s="1505"/>
      <c r="D145" s="1505"/>
      <c r="E145" s="1505"/>
      <c r="F145" s="1505"/>
      <c r="G145" s="1505"/>
      <c r="H145" s="1505"/>
      <c r="I145" s="1506" t="s">
        <v>1879</v>
      </c>
      <c r="J145" s="2872"/>
    </row>
    <row r="146" spans="1:36" ht="21.75" customHeight="1">
      <c r="A146" s="659"/>
      <c r="B146" s="1507"/>
      <c r="C146" s="1508"/>
      <c r="D146" s="1509"/>
      <c r="E146" s="1509"/>
      <c r="F146" s="1510"/>
      <c r="G146" s="659"/>
      <c r="H146" s="659"/>
      <c r="I146" s="659"/>
      <c r="J146" s="2871"/>
    </row>
    <row r="147" spans="1:36" s="32" customFormat="1" ht="21.75" customHeight="1">
      <c r="A147" s="659"/>
      <c r="B147" s="1507"/>
      <c r="C147" s="1508"/>
      <c r="D147" s="1509"/>
      <c r="E147" s="150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656" t="s">
        <v>1882</v>
      </c>
      <c r="B2" s="3656"/>
      <c r="C2" s="3656"/>
      <c r="D2" s="3656"/>
      <c r="E2" s="3656"/>
      <c r="F2" s="3656"/>
      <c r="G2" s="3656"/>
      <c r="H2" s="3656"/>
      <c r="I2" s="3656"/>
      <c r="J2" s="2873"/>
    </row>
    <row r="3" spans="1:15" ht="12.75">
      <c r="A3" s="3580" t="s">
        <v>1710</v>
      </c>
      <c r="B3" s="3581"/>
      <c r="C3" s="3581"/>
      <c r="D3" s="3581"/>
      <c r="E3" s="3581"/>
      <c r="F3" s="3581"/>
      <c r="G3" s="3581"/>
      <c r="H3" s="3581"/>
      <c r="I3" s="3581"/>
      <c r="J3" s="2843"/>
    </row>
    <row r="4" spans="1:15" ht="14.25">
      <c r="A4" s="2711" t="s">
        <v>1711</v>
      </c>
      <c r="B4" s="2711" t="s">
        <v>1712</v>
      </c>
      <c r="C4" s="2712"/>
      <c r="D4" s="2712"/>
      <c r="E4" s="3526" t="s">
        <v>1883</v>
      </c>
      <c r="F4" s="3564"/>
      <c r="G4" s="3564"/>
      <c r="H4" s="3564"/>
      <c r="I4" s="3565"/>
      <c r="J4" s="2844"/>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557" t="s">
        <v>1714</v>
      </c>
      <c r="B5" s="3557">
        <v>25</v>
      </c>
      <c r="C5" s="3566"/>
      <c r="D5" s="3579"/>
      <c r="E5" s="12" t="s">
        <v>1715</v>
      </c>
      <c r="F5" s="2087"/>
      <c r="G5" s="2087"/>
      <c r="H5" s="2087"/>
      <c r="I5" s="2082"/>
      <c r="J5" s="2844"/>
    </row>
    <row r="6" spans="1:15" ht="12.75">
      <c r="A6" s="3557"/>
      <c r="B6" s="3557"/>
      <c r="C6" s="3582"/>
      <c r="D6" s="3579"/>
      <c r="E6" s="12" t="s">
        <v>1716</v>
      </c>
      <c r="F6" s="2087"/>
      <c r="G6" s="2087"/>
      <c r="H6" s="2087"/>
      <c r="I6" s="2082"/>
      <c r="J6" s="2844"/>
    </row>
    <row r="7" spans="1:15" ht="12.75">
      <c r="A7" s="3557"/>
      <c r="B7" s="3557"/>
      <c r="C7" s="3567"/>
      <c r="D7" s="3579"/>
      <c r="E7" s="12" t="s">
        <v>1717</v>
      </c>
      <c r="F7" s="2087"/>
      <c r="G7" s="2087"/>
      <c r="H7" s="2087"/>
      <c r="I7" s="2082"/>
      <c r="J7" s="2844"/>
    </row>
    <row r="8" spans="1:15" ht="12.75">
      <c r="A8" s="3557" t="s">
        <v>1718</v>
      </c>
      <c r="B8" s="3557">
        <v>15</v>
      </c>
      <c r="C8" s="3566"/>
      <c r="D8" s="3579"/>
      <c r="E8" s="12" t="s">
        <v>1719</v>
      </c>
      <c r="F8" s="2087"/>
      <c r="G8" s="2087"/>
      <c r="H8" s="2087"/>
      <c r="I8" s="2082"/>
      <c r="J8" s="2844"/>
    </row>
    <row r="9" spans="1:15" ht="12.75">
      <c r="A9" s="3557"/>
      <c r="B9" s="3557"/>
      <c r="C9" s="3567"/>
      <c r="D9" s="3579"/>
      <c r="E9" s="12" t="s">
        <v>1720</v>
      </c>
      <c r="F9" s="2087"/>
      <c r="G9" s="2087"/>
      <c r="H9" s="2087"/>
      <c r="I9" s="2082"/>
      <c r="J9" s="2844"/>
    </row>
    <row r="10" spans="1:15" ht="12.75">
      <c r="A10" s="3557" t="s">
        <v>1721</v>
      </c>
      <c r="B10" s="3557">
        <v>15</v>
      </c>
      <c r="C10" s="3566"/>
      <c r="D10" s="3579"/>
      <c r="E10" s="12" t="s">
        <v>1722</v>
      </c>
      <c r="F10" s="2087"/>
      <c r="G10" s="2087"/>
      <c r="H10" s="2087"/>
      <c r="I10" s="2082"/>
      <c r="J10" s="2844"/>
    </row>
    <row r="11" spans="1:15" ht="12.75">
      <c r="A11" s="3557"/>
      <c r="B11" s="3557"/>
      <c r="C11" s="3567"/>
      <c r="D11" s="3579"/>
      <c r="E11" s="12" t="s">
        <v>1723</v>
      </c>
      <c r="F11" s="2087"/>
      <c r="G11" s="2087"/>
      <c r="H11" s="2087"/>
      <c r="I11" s="2082"/>
      <c r="J11" s="2844"/>
    </row>
    <row r="12" spans="1:15" ht="12.75">
      <c r="A12" s="3557" t="s">
        <v>1724</v>
      </c>
      <c r="B12" s="3557">
        <v>15</v>
      </c>
      <c r="C12" s="3566"/>
      <c r="D12" s="3579"/>
      <c r="E12" s="12" t="s">
        <v>1725</v>
      </c>
      <c r="F12" s="2087"/>
      <c r="G12" s="2087"/>
      <c r="H12" s="2087"/>
      <c r="I12" s="2082"/>
      <c r="J12" s="2844"/>
    </row>
    <row r="13" spans="1:15" ht="12.75">
      <c r="A13" s="3557"/>
      <c r="B13" s="3557"/>
      <c r="C13" s="3567"/>
      <c r="D13" s="3579"/>
      <c r="E13" s="12" t="s">
        <v>1726</v>
      </c>
      <c r="F13" s="2087"/>
      <c r="G13" s="2087"/>
      <c r="H13" s="2087"/>
      <c r="I13" s="2082"/>
      <c r="J13" s="2844"/>
    </row>
    <row r="14" spans="1:15" ht="12.75">
      <c r="A14" s="3557" t="s">
        <v>1727</v>
      </c>
      <c r="B14" s="3557">
        <v>30</v>
      </c>
      <c r="C14" s="3566"/>
      <c r="D14" s="3579"/>
      <c r="E14" s="12" t="s">
        <v>1728</v>
      </c>
      <c r="F14" s="2087"/>
      <c r="G14" s="2087"/>
      <c r="H14" s="2087"/>
      <c r="I14" s="2082"/>
      <c r="J14" s="2844"/>
    </row>
    <row r="15" spans="1:15" ht="12.75">
      <c r="A15" s="3557"/>
      <c r="B15" s="3557"/>
      <c r="C15" s="3582"/>
      <c r="D15" s="3579"/>
      <c r="E15" s="12" t="s">
        <v>1729</v>
      </c>
      <c r="F15" s="2087"/>
      <c r="G15" s="2087"/>
      <c r="H15" s="2087"/>
      <c r="I15" s="2082"/>
      <c r="J15" s="2844"/>
    </row>
    <row r="16" spans="1:15" ht="12.75">
      <c r="A16" s="3557"/>
      <c r="B16" s="3557"/>
      <c r="C16" s="3567"/>
      <c r="D16" s="3579"/>
      <c r="E16" s="12" t="s">
        <v>1730</v>
      </c>
      <c r="F16" s="2087"/>
      <c r="G16" s="2087"/>
      <c r="H16" s="2087"/>
      <c r="I16" s="2082"/>
      <c r="J16" s="2844"/>
    </row>
    <row r="17" spans="1:36" ht="15">
      <c r="A17" s="2713" t="s">
        <v>1731</v>
      </c>
      <c r="B17" s="2092"/>
      <c r="C17" s="2714">
        <f>SUM(C5:C16)</f>
        <v>0</v>
      </c>
      <c r="D17" s="2714">
        <f>SUM(D5:D16)</f>
        <v>0</v>
      </c>
      <c r="E17" s="2561"/>
      <c r="F17" s="2561"/>
      <c r="G17" s="2561"/>
      <c r="H17" s="2561"/>
      <c r="I17" s="2561"/>
      <c r="J17" s="2845"/>
    </row>
    <row r="18" spans="1:36" ht="32.450000000000003" customHeight="1" thickBot="1">
      <c r="A18" s="2715" t="s">
        <v>1732</v>
      </c>
      <c r="B18" s="2716"/>
      <c r="C18" s="2717" t="e">
        <f>ROUND(C17/SUM(C17:D17),2)</f>
        <v>#DIV/0!</v>
      </c>
      <c r="D18" s="2717" t="e">
        <f>1-C18</f>
        <v>#DIV/0!</v>
      </c>
      <c r="E18" s="3575" t="s">
        <v>2817</v>
      </c>
      <c r="F18" s="3576"/>
      <c r="G18" s="3576"/>
      <c r="H18" s="3576"/>
      <c r="I18" s="3576"/>
      <c r="J18" s="2845"/>
    </row>
    <row r="19" spans="1:36" ht="15">
      <c r="A19" s="2718" t="s">
        <v>1733</v>
      </c>
      <c r="B19" s="2719" t="s">
        <v>1734</v>
      </c>
      <c r="C19" s="2720" t="e">
        <f ca="1">SUMIF(INDIRECT("'"&amp;C4&amp;"'"&amp;"!A:A"),'结果表 (1修多)'!B19,INDIRECT("'"&amp;C4&amp;"'"&amp;"!B:B"))</f>
        <v>#REF!</v>
      </c>
      <c r="D19" s="2721" t="e">
        <f ca="1">SUMIF(INDIRECT("'"&amp;D4&amp;"'"&amp;"!A:A"),'结果表 (1修多)'!B19,INDIRECT("'"&amp;D4&amp;"'"&amp;"!B:B"))</f>
        <v>#REF!</v>
      </c>
      <c r="E19" s="2718" t="s">
        <v>1735</v>
      </c>
      <c r="F19" s="2719" t="s">
        <v>1734</v>
      </c>
      <c r="G19" s="2722" t="e">
        <f ca="1">ROUND(C19*$C$18+D19*$D$18,0)</f>
        <v>#REF!</v>
      </c>
      <c r="H19" s="2723" t="str">
        <f>'数据-取费表'!B3</f>
        <v>元</v>
      </c>
      <c r="I19" s="2561"/>
      <c r="J19" s="2845"/>
    </row>
    <row r="20" spans="1:36" ht="15">
      <c r="A20" s="2724"/>
      <c r="B20" s="1693" t="s">
        <v>1736</v>
      </c>
      <c r="C20" s="1917" t="e">
        <f ca="1">SUMIF(INDIRECT("'"&amp;C4&amp;"'"&amp;"!A:A"),'结果表 (1修多)'!B20,INDIRECT("'"&amp;C4&amp;"'"&amp;"!B:B"))</f>
        <v>#REF!</v>
      </c>
      <c r="D20" s="1920" t="e">
        <f ca="1">SUMIF(INDIRECT("'"&amp;D4&amp;"'"&amp;"!A:A"),'结果表 (1修多)'!B20,INDIRECT("'"&amp;D4&amp;"'"&amp;"!B:B"))</f>
        <v>#REF!</v>
      </c>
      <c r="E20" s="2724"/>
      <c r="F20" s="1693" t="s">
        <v>1736</v>
      </c>
      <c r="G20" s="2091" t="e">
        <f ca="1">ROUND(C20*$C$18+D20*$D$18,0)</f>
        <v>#REF!</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t="e">
        <f ca="1">IF(C19&lt;D19,D19/C19-1,C19/D19-1)</f>
        <v>#REF!</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568" t="s">
        <v>1739</v>
      </c>
      <c r="B24" s="2719" t="s">
        <v>1734</v>
      </c>
      <c r="C24" s="2722">
        <f>D30</f>
        <v>0</v>
      </c>
      <c r="D24" s="2674"/>
      <c r="E24" s="947"/>
      <c r="F24" s="947"/>
      <c r="G24" s="947"/>
      <c r="H24" s="947"/>
      <c r="I24" s="947"/>
      <c r="J24" s="2845"/>
    </row>
    <row r="25" spans="1:36" ht="21.75" customHeight="1">
      <c r="A25" s="3585"/>
      <c r="B25" s="1693"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t="s">
        <v>1884</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1885</v>
      </c>
      <c r="B30" s="2773"/>
      <c r="C30" s="2773"/>
      <c r="D30" s="2773"/>
      <c r="E30" s="2740" t="s">
        <v>2821</v>
      </c>
      <c r="F30" s="2561"/>
      <c r="G30" s="2561"/>
      <c r="H30" s="2561"/>
      <c r="I30" s="2561"/>
      <c r="J30" s="2845"/>
    </row>
    <row r="31" spans="1:36" s="2838" customFormat="1" ht="27.6" customHeight="1" thickTop="1" thickBot="1">
      <c r="A31" s="2833"/>
      <c r="B31" s="2834"/>
      <c r="C31" s="2834"/>
      <c r="D31" s="2834"/>
      <c r="E31" s="2834"/>
      <c r="F31" s="2834"/>
      <c r="G31" s="2834"/>
      <c r="H31" s="2834"/>
      <c r="I31" s="2835" t="s">
        <v>2822</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5" customFormat="1" ht="16.5" thickTop="1" thickBot="1">
      <c r="A32" s="3633" t="s">
        <v>1886</v>
      </c>
      <c r="B32" s="3633"/>
      <c r="C32" s="3633"/>
      <c r="D32" s="3633"/>
      <c r="E32" s="3633"/>
      <c r="F32" s="3633"/>
      <c r="G32" s="3633"/>
      <c r="H32" s="3633"/>
      <c r="I32" s="3633"/>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4" t="s">
        <v>1887</v>
      </c>
      <c r="C33" s="2775">
        <f>典型户型修正!R27</f>
        <v>0</v>
      </c>
      <c r="D33" s="2561" t="s">
        <v>1888</v>
      </c>
      <c r="E33" s="947"/>
      <c r="F33" s="947"/>
      <c r="G33" s="947"/>
      <c r="H33" s="947"/>
      <c r="I33" s="947"/>
      <c r="J33" s="2845"/>
    </row>
    <row r="34" spans="1:16" ht="15">
      <c r="A34" s="1512" t="s">
        <v>1889</v>
      </c>
      <c r="B34" s="2776" t="s">
        <v>1890</v>
      </c>
      <c r="C34" s="2777">
        <f>典型户型修正!B2</f>
        <v>0</v>
      </c>
      <c r="D34" s="2778" t="str">
        <f>IF('数据-取费表'!B3="万元","万元","元")</f>
        <v>元</v>
      </c>
      <c r="E34" s="947"/>
      <c r="F34" s="947"/>
      <c r="G34" s="947"/>
      <c r="H34" s="947"/>
      <c r="I34" s="947"/>
      <c r="J34" s="2845"/>
    </row>
    <row r="35" spans="1:16" ht="15.75" thickBot="1">
      <c r="A35" s="1513"/>
      <c r="B35" s="2779" t="s">
        <v>1891</v>
      </c>
      <c r="C35" s="2728" t="e">
        <f>典型户型修正!B3</f>
        <v>#DIV/0!</v>
      </c>
      <c r="D35" s="2561" t="s">
        <v>1892</v>
      </c>
      <c r="E35" s="947"/>
      <c r="F35" s="947"/>
      <c r="G35" s="947"/>
      <c r="H35" s="947"/>
      <c r="I35" s="947"/>
      <c r="J35" s="2845"/>
    </row>
    <row r="36" spans="1:16" ht="15">
      <c r="A36" s="1514"/>
      <c r="B36" s="1468" t="s">
        <v>1893</v>
      </c>
      <c r="C36" s="2780">
        <f>IF('数据-取费表'!B3="万元",典型户型修正!V25,典型户型修正!U25)</f>
        <v>0</v>
      </c>
      <c r="D36" s="2561" t="str">
        <f>D34</f>
        <v>元</v>
      </c>
      <c r="E36" s="947"/>
      <c r="F36" s="947"/>
      <c r="G36" s="947"/>
      <c r="H36" s="947"/>
      <c r="I36" s="947"/>
      <c r="J36" s="2845"/>
    </row>
    <row r="37" spans="1:16" ht="15.75" thickBot="1">
      <c r="A37" s="1467"/>
      <c r="B37" s="1469" t="s">
        <v>1894</v>
      </c>
      <c r="C37" s="2781">
        <f>IF('数据-取费表'!B3="万元",典型户型修正!Y25,典型户型修正!X25)</f>
        <v>0</v>
      </c>
      <c r="D37" s="2561" t="str">
        <f>D34</f>
        <v>元</v>
      </c>
      <c r="E37" s="947"/>
      <c r="F37" s="947"/>
      <c r="G37" s="947"/>
      <c r="H37" s="947"/>
      <c r="I37" s="947"/>
      <c r="J37" s="2845"/>
    </row>
    <row r="38" spans="1:16" ht="15.75" thickBot="1">
      <c r="A38" s="3568" t="s">
        <v>1895</v>
      </c>
      <c r="B38" s="1468" t="s">
        <v>1896</v>
      </c>
      <c r="C38" s="2755"/>
      <c r="D38" s="2756"/>
      <c r="E38" s="1680"/>
      <c r="F38" s="1680"/>
      <c r="G38" s="947"/>
      <c r="H38" s="947"/>
      <c r="I38" s="947"/>
      <c r="J38" s="2845"/>
    </row>
    <row r="39" spans="1:16" ht="15.75" thickBot="1">
      <c r="A39" s="3569"/>
      <c r="B39" s="2092" t="s">
        <v>1897</v>
      </c>
      <c r="C39" s="2757"/>
      <c r="D39" s="1311"/>
      <c r="E39" s="1311"/>
      <c r="F39" s="1680"/>
      <c r="G39" s="1311"/>
      <c r="H39" s="1311"/>
      <c r="I39" s="1311"/>
      <c r="J39" s="2849"/>
    </row>
    <row r="40" spans="1:16" ht="15.75" thickBot="1">
      <c r="A40" s="3570"/>
      <c r="B40" s="1469" t="s">
        <v>1898</v>
      </c>
      <c r="C40" s="2758"/>
      <c r="D40" s="2759" t="s">
        <v>1899</v>
      </c>
      <c r="E40" s="1311"/>
      <c r="F40" s="1680"/>
      <c r="G40" s="1311"/>
      <c r="H40" s="1311"/>
      <c r="I40" s="1311"/>
      <c r="J40" s="2849"/>
    </row>
    <row r="41" spans="1:16" ht="15">
      <c r="A41" s="2724" t="s">
        <v>1900</v>
      </c>
      <c r="B41" s="2760" t="s">
        <v>1901</v>
      </c>
      <c r="C41" s="2761" t="s">
        <v>1902</v>
      </c>
      <c r="D41" s="2761" t="s">
        <v>1903</v>
      </c>
      <c r="E41" s="2762" t="s">
        <v>1904</v>
      </c>
      <c r="F41" s="1680"/>
      <c r="G41" s="1311"/>
      <c r="H41" s="1311"/>
      <c r="I41" s="1311"/>
      <c r="J41" s="2849"/>
    </row>
    <row r="42" spans="1:16" ht="14.25">
      <c r="A42" s="2763" t="s">
        <v>1905</v>
      </c>
      <c r="B42" s="2764"/>
      <c r="C42" s="2765"/>
      <c r="D42" s="2765"/>
      <c r="E42" s="2766"/>
      <c r="F42" s="1680"/>
      <c r="G42" s="1311"/>
      <c r="H42" s="1311"/>
      <c r="I42" s="1311"/>
      <c r="J42" s="2849"/>
    </row>
    <row r="43" spans="1:16" ht="14.25">
      <c r="A43" s="2763" t="s">
        <v>1906</v>
      </c>
      <c r="B43" s="2764"/>
      <c r="C43" s="2765"/>
      <c r="D43" s="2765"/>
      <c r="E43" s="2766"/>
      <c r="F43" s="1680"/>
      <c r="G43" s="1311"/>
      <c r="H43" s="1311"/>
      <c r="I43" s="1311"/>
      <c r="J43" s="2849"/>
    </row>
    <row r="44" spans="1:16" ht="15" thickBot="1">
      <c r="A44" s="2767"/>
      <c r="B44" s="2768"/>
      <c r="C44" s="2769"/>
      <c r="D44" s="2769"/>
      <c r="E44" s="2754"/>
      <c r="F44" s="1680"/>
      <c r="G44" s="1311"/>
      <c r="H44" s="1311"/>
      <c r="I44" s="1311"/>
      <c r="J44" s="2849"/>
    </row>
    <row r="45" spans="1:16" ht="12.75">
      <c r="A45" s="1481"/>
      <c r="B45" s="1481"/>
      <c r="C45" s="1481"/>
      <c r="D45" s="1481"/>
      <c r="E45" s="1481"/>
      <c r="F45" s="1437"/>
      <c r="G45" s="1437"/>
      <c r="H45" s="1437"/>
      <c r="I45" s="2770"/>
      <c r="J45" s="2850"/>
    </row>
    <row r="46" spans="1:16" ht="18.75">
      <c r="A46" s="1471" t="s">
        <v>1907</v>
      </c>
      <c r="B46" s="1472"/>
      <c r="C46" s="1472"/>
      <c r="D46" s="2782"/>
      <c r="E46" s="2782"/>
      <c r="F46" s="2782"/>
      <c r="G46" s="2782"/>
      <c r="H46" s="2782"/>
      <c r="I46" s="2839" t="s">
        <v>2816</v>
      </c>
      <c r="J46" s="2875"/>
      <c r="K46" s="1475" t="s">
        <v>1762</v>
      </c>
      <c r="L46" s="1476"/>
      <c r="M46" s="1476"/>
      <c r="N46" s="1476"/>
      <c r="O46" s="1476"/>
      <c r="P46" s="1476"/>
    </row>
    <row r="47" spans="1:16" ht="14.25" customHeight="1" thickBot="1">
      <c r="A47" s="3572" t="s">
        <v>1908</v>
      </c>
      <c r="B47" s="3573"/>
      <c r="C47" s="3532"/>
      <c r="D47" s="246">
        <f>ROUND(I104*F47,0)</f>
        <v>0</v>
      </c>
      <c r="E47" s="1542" t="s">
        <v>1909</v>
      </c>
      <c r="F47" s="2559">
        <v>1</v>
      </c>
      <c r="G47" s="2560" t="s">
        <v>1910</v>
      </c>
      <c r="H47" s="947"/>
      <c r="I47" s="947"/>
      <c r="J47" s="2845"/>
      <c r="K47" s="3658" t="s">
        <v>1766</v>
      </c>
      <c r="L47" s="3658"/>
      <c r="M47" s="3658"/>
      <c r="N47" s="3658"/>
      <c r="O47" s="3658"/>
      <c r="P47" s="3658"/>
    </row>
    <row r="48" spans="1:16" ht="14.25" customHeight="1">
      <c r="A48" s="3561" t="s">
        <v>1767</v>
      </c>
      <c r="B48" s="3562"/>
      <c r="C48" s="3562"/>
      <c r="D48" s="3562"/>
      <c r="E48" s="3562"/>
      <c r="F48" s="3562"/>
      <c r="G48" s="3563"/>
      <c r="H48" s="2977"/>
      <c r="I48" s="947"/>
      <c r="J48" s="2845"/>
      <c r="K48" s="2511">
        <v>1</v>
      </c>
      <c r="L48" s="3653" t="s">
        <v>1768</v>
      </c>
      <c r="M48" s="3653"/>
      <c r="N48" s="3659"/>
      <c r="O48" s="3659"/>
      <c r="P48" s="3659"/>
    </row>
    <row r="49" spans="1:17" ht="12" customHeight="1">
      <c r="A49" s="38" t="s">
        <v>1769</v>
      </c>
      <c r="B49" s="39"/>
      <c r="C49" s="40"/>
      <c r="D49" s="1099" t="s">
        <v>1770</v>
      </c>
      <c r="E49" s="235" t="s">
        <v>1771</v>
      </c>
      <c r="F49" s="41" t="s">
        <v>1772</v>
      </c>
      <c r="G49" s="2562" t="s">
        <v>1773</v>
      </c>
      <c r="H49" s="2977"/>
      <c r="I49" s="947"/>
      <c r="J49" s="2845"/>
      <c r="K49" s="2511">
        <v>2</v>
      </c>
      <c r="L49" s="3653" t="s">
        <v>1774</v>
      </c>
      <c r="M49" s="3653"/>
      <c r="N49" s="3660">
        <f>'数据-取费表'!B2</f>
        <v>40002</v>
      </c>
      <c r="O49" s="3660"/>
      <c r="P49" s="3660"/>
    </row>
    <row r="50" spans="1:17" ht="25.5">
      <c r="A50" s="3571" t="s">
        <v>1775</v>
      </c>
      <c r="B50" s="3525"/>
      <c r="C50" s="3525"/>
      <c r="D50" s="12">
        <f>IF(H50="情况1",0,IF(H50="情况2",D54,IF(H50="情况3",D55,IF(H50="情况4",D56))))</f>
        <v>0</v>
      </c>
      <c r="E50" s="2090" t="str">
        <f>IF(H50="情况4","(销售额-原购置价)×税（费）率","销售额×税（费）率")</f>
        <v>销售额×税（费）率</v>
      </c>
      <c r="F50" s="2563">
        <f>IF(H50="情况1","免征",'数据-取费表'!E29)</f>
        <v>5.5000000000000007E-2</v>
      </c>
      <c r="G50" s="2564" t="s">
        <v>1776</v>
      </c>
      <c r="H50" s="2565" t="s">
        <v>1777</v>
      </c>
      <c r="I50" s="2977"/>
      <c r="J50" s="2852"/>
      <c r="K50" s="2511">
        <v>3</v>
      </c>
      <c r="L50" s="3653" t="s">
        <v>1778</v>
      </c>
      <c r="M50" s="3653"/>
      <c r="N50" s="3654">
        <f>I104</f>
        <v>0</v>
      </c>
      <c r="O50" s="3654"/>
      <c r="P50" s="3654"/>
    </row>
    <row r="51" spans="1:17" ht="25.5" customHeight="1">
      <c r="A51" s="2089" t="s">
        <v>1779</v>
      </c>
      <c r="B51" s="3564" t="s">
        <v>1780</v>
      </c>
      <c r="C51" s="3564"/>
      <c r="D51" s="2566">
        <v>0</v>
      </c>
      <c r="E51" s="261" t="s">
        <v>1781</v>
      </c>
      <c r="F51" s="2567" t="s">
        <v>48</v>
      </c>
      <c r="G51" s="3621"/>
      <c r="H51" s="2568" t="s">
        <v>2741</v>
      </c>
      <c r="I51" s="2569"/>
      <c r="J51" s="2853"/>
      <c r="K51" s="2511">
        <v>4</v>
      </c>
      <c r="L51" s="3653" t="str">
        <f>IF(项目基本情况!F5="房地产抵押价值","房地产抵押价值","抵押担保权已注销时的房地产抵押价值")</f>
        <v>抵押担保权已注销时的房地产抵押价值</v>
      </c>
      <c r="M51" s="3653"/>
      <c r="N51" s="3654" t="str">
        <f>IF(项目基本情况!F5="房地产抵押价值",I112,I114)</f>
        <v>——</v>
      </c>
      <c r="O51" s="3654"/>
      <c r="P51" s="3654"/>
    </row>
    <row r="52" spans="1:17" ht="25.5" customHeight="1">
      <c r="A52" s="2079"/>
      <c r="B52" s="3564" t="s">
        <v>1782</v>
      </c>
      <c r="C52" s="3564"/>
      <c r="D52" s="2570"/>
      <c r="E52" s="269"/>
      <c r="F52" s="2567"/>
      <c r="G52" s="3622"/>
      <c r="H52" s="2571" t="s">
        <v>2742</v>
      </c>
      <c r="I52" s="2569"/>
      <c r="J52" s="2853"/>
      <c r="K52" s="3653" t="s">
        <v>1783</v>
      </c>
      <c r="L52" s="3653"/>
      <c r="M52" s="3653"/>
      <c r="N52" s="3653"/>
      <c r="O52" s="3653"/>
      <c r="P52" s="3653"/>
    </row>
    <row r="53" spans="1:17" ht="20.45" customHeight="1">
      <c r="A53" s="2572"/>
      <c r="B53" s="3564" t="s">
        <v>1784</v>
      </c>
      <c r="C53" s="3564"/>
      <c r="D53" s="1099"/>
      <c r="E53" s="264"/>
      <c r="F53" s="2567"/>
      <c r="G53" s="3623"/>
      <c r="H53" s="2571" t="s">
        <v>2743</v>
      </c>
      <c r="I53" s="2569"/>
      <c r="J53" s="2853"/>
      <c r="K53" s="2512" t="s">
        <v>1785</v>
      </c>
      <c r="L53" s="3653" t="s">
        <v>1786</v>
      </c>
      <c r="M53" s="3653"/>
      <c r="N53" s="2512" t="s">
        <v>1787</v>
      </c>
      <c r="O53" s="2512" t="s">
        <v>1788</v>
      </c>
      <c r="P53" s="2512" t="s">
        <v>1789</v>
      </c>
    </row>
    <row r="54" spans="1:17" ht="24" customHeight="1">
      <c r="A54" s="2080" t="s">
        <v>1790</v>
      </c>
      <c r="B54" s="3564" t="s">
        <v>1791</v>
      </c>
      <c r="C54" s="3564"/>
      <c r="D54" s="1099">
        <f>ROUND(D47*'数据-取费表'!E29/(1+'数据-取费表'!F30),0)</f>
        <v>0</v>
      </c>
      <c r="E54" s="2090" t="s">
        <v>1792</v>
      </c>
      <c r="F54" s="2573">
        <f>'数据-取费表'!E29</f>
        <v>5.5000000000000007E-2</v>
      </c>
      <c r="G54" s="2574"/>
      <c r="H54" s="947"/>
      <c r="I54" s="2978"/>
      <c r="J54" s="2853"/>
      <c r="K54" s="2511">
        <v>1</v>
      </c>
      <c r="L54" s="3649" t="s">
        <v>1793</v>
      </c>
      <c r="M54" s="3649"/>
      <c r="N54" s="2513">
        <f>D50</f>
        <v>0</v>
      </c>
      <c r="O54" s="2511" t="str">
        <f>E50</f>
        <v>销售额×税（费）率</v>
      </c>
      <c r="P54" s="2514">
        <f>F50</f>
        <v>5.5000000000000007E-2</v>
      </c>
    </row>
    <row r="55" spans="1:17" ht="12" customHeight="1">
      <c r="A55" s="2080" t="s">
        <v>1794</v>
      </c>
      <c r="B55" s="3526" t="s">
        <v>2835</v>
      </c>
      <c r="C55" s="3565"/>
      <c r="D55" s="1099">
        <f>ROUND(D47*'数据-取费表'!E29/(1+'数据-取费表'!F30),0)</f>
        <v>0</v>
      </c>
      <c r="E55" s="2090" t="s">
        <v>1792</v>
      </c>
      <c r="F55" s="2573">
        <f>'数据-取费表'!E29</f>
        <v>5.5000000000000007E-2</v>
      </c>
      <c r="G55" s="2574"/>
      <c r="H55" s="947"/>
      <c r="I55" s="2978"/>
      <c r="J55" s="2853"/>
      <c r="K55" s="2511">
        <v>2</v>
      </c>
      <c r="L55" s="3649" t="s">
        <v>1795</v>
      </c>
      <c r="M55" s="3649"/>
      <c r="N55" s="2513">
        <f t="shared" ref="N55:P56" si="1">D57</f>
        <v>0</v>
      </c>
      <c r="O55" s="2511" t="str">
        <f t="shared" si="1"/>
        <v>销售额×税（费）率</v>
      </c>
      <c r="P55" s="2514">
        <f t="shared" si="1"/>
        <v>5.0000000000000001E-4</v>
      </c>
    </row>
    <row r="56" spans="1:17" ht="12" customHeight="1">
      <c r="A56" s="2080" t="s">
        <v>1796</v>
      </c>
      <c r="B56" s="3526" t="s">
        <v>2836</v>
      </c>
      <c r="C56" s="3565"/>
      <c r="D56" s="1099">
        <f>C70</f>
        <v>0</v>
      </c>
      <c r="E56" s="264" t="s">
        <v>1797</v>
      </c>
      <c r="F56" s="2573">
        <f>'数据-取费表'!E29</f>
        <v>5.5000000000000007E-2</v>
      </c>
      <c r="G56" s="2574"/>
      <c r="H56" s="2979"/>
      <c r="I56" s="2978"/>
      <c r="J56" s="2853"/>
      <c r="K56" s="2511">
        <v>3</v>
      </c>
      <c r="L56" s="3649" t="s">
        <v>1798</v>
      </c>
      <c r="M56" s="3649"/>
      <c r="N56" s="2513">
        <f t="shared" si="1"/>
        <v>0</v>
      </c>
      <c r="O56" s="2511" t="str">
        <f t="shared" si="1"/>
        <v>增值额×税（费）率</v>
      </c>
      <c r="P56" s="2515" t="str">
        <f t="shared" si="1"/>
        <v>——</v>
      </c>
    </row>
    <row r="57" spans="1:17" ht="24" customHeight="1">
      <c r="A57" s="3524" t="s">
        <v>1799</v>
      </c>
      <c r="B57" s="3525"/>
      <c r="C57" s="3525"/>
      <c r="D57" s="12">
        <f>IF(H57="个人住宅",0,ROUND(D47*I57,0))</f>
        <v>0</v>
      </c>
      <c r="E57" s="2090" t="s">
        <v>1800</v>
      </c>
      <c r="F57" s="2573">
        <f>IF(H57="正常",I57,"免征")</f>
        <v>5.0000000000000001E-4</v>
      </c>
      <c r="G57" s="2574"/>
      <c r="H57" s="2565" t="s">
        <v>1801</v>
      </c>
      <c r="I57" s="74">
        <f>'数据-取费表'!E37</f>
        <v>5.0000000000000001E-4</v>
      </c>
      <c r="J57" s="2853"/>
      <c r="K57" s="2511">
        <f>IF(H61="非个人房产","",4)</f>
        <v>4</v>
      </c>
      <c r="L57" s="3649" t="str">
        <f>IF(H61="非个人房产","——","个人所得税")</f>
        <v>个人所得税</v>
      </c>
      <c r="M57" s="3649"/>
      <c r="N57" s="2516">
        <f>D61</f>
        <v>0</v>
      </c>
      <c r="O57" s="2517" t="str">
        <f>E61</f>
        <v>销售额×税（费）率</v>
      </c>
      <c r="P57" s="2518">
        <f>F61</f>
        <v>0.01</v>
      </c>
    </row>
    <row r="58" spans="1:17" ht="24.75">
      <c r="A58" s="3524" t="s">
        <v>1802</v>
      </c>
      <c r="B58" s="3525"/>
      <c r="C58" s="3525"/>
      <c r="D58" s="12">
        <f>IF(H58="个人住宅",D59,D60)</f>
        <v>0</v>
      </c>
      <c r="E58" s="2090" t="s">
        <v>1803</v>
      </c>
      <c r="F58" s="2573" t="str">
        <f>IF(H58="正常",F60,"免征")</f>
        <v>——</v>
      </c>
      <c r="G58" s="2575" t="s">
        <v>1804</v>
      </c>
      <c r="H58" s="2576" t="s">
        <v>1801</v>
      </c>
      <c r="I58" s="2980"/>
      <c r="J58" s="2853"/>
      <c r="K58" s="2511" t="str">
        <f>IF(项目基本情况!I6="上海银行",IF(K57="",4,K57+1),"")</f>
        <v/>
      </c>
      <c r="L58" s="3651" t="str">
        <f>IF(项目基本情况!I6="上海银行","其他处置费用","")</f>
        <v/>
      </c>
      <c r="M58" s="3652"/>
      <c r="N58" s="2513" t="str">
        <f>IF(项目基本情况!I6="上海银行",N71,"")</f>
        <v/>
      </c>
      <c r="O58" s="3651" t="str">
        <f>IF(项目基本情况!I6="上海银行","包含处置中涉及的律师、诉讼、拍卖、评估等费用","")</f>
        <v/>
      </c>
      <c r="P58" s="3655"/>
    </row>
    <row r="59" spans="1:17" ht="12.75">
      <c r="A59" s="2080" t="s">
        <v>1779</v>
      </c>
      <c r="B59" s="3526" t="s">
        <v>1805</v>
      </c>
      <c r="C59" s="3565"/>
      <c r="D59" s="2566">
        <v>0</v>
      </c>
      <c r="E59" s="261" t="s">
        <v>1781</v>
      </c>
      <c r="F59" s="235"/>
      <c r="G59" s="2574"/>
      <c r="H59" s="2980"/>
      <c r="I59" s="2980"/>
      <c r="J59" s="2853"/>
      <c r="K59" s="3649">
        <f>IF(AND(K57="",K58=""),4,IF(项目基本情况!I6="上海银行",K58+1,K57+1))</f>
        <v>5</v>
      </c>
      <c r="L59" s="3649" t="s">
        <v>1806</v>
      </c>
      <c r="M59" s="2519" t="s">
        <v>1807</v>
      </c>
      <c r="N59" s="2520"/>
      <c r="O59" s="2521">
        <f>SUMIF(N54:N58,"&lt;9e307")</f>
        <v>0</v>
      </c>
      <c r="P59" s="2522"/>
      <c r="Q59" s="1306" t="e">
        <f>O59/N51</f>
        <v>#VALUE!</v>
      </c>
    </row>
    <row r="60" spans="1:17" ht="24.75">
      <c r="A60" s="2080" t="s">
        <v>1790</v>
      </c>
      <c r="B60" s="3526" t="s">
        <v>1808</v>
      </c>
      <c r="C60" s="3564"/>
      <c r="D60" s="12">
        <f>IF(H60="转让取得",C83,C99)</f>
        <v>0</v>
      </c>
      <c r="E60" s="2090" t="s">
        <v>1803</v>
      </c>
      <c r="F60" s="235" t="s">
        <v>48</v>
      </c>
      <c r="G60" s="2574"/>
      <c r="H60" s="2576" t="s">
        <v>1809</v>
      </c>
      <c r="I60" s="2980"/>
      <c r="J60" s="2853"/>
      <c r="K60" s="3649"/>
      <c r="L60" s="3649"/>
      <c r="M60" s="2519" t="s">
        <v>1810</v>
      </c>
      <c r="N60" s="2523"/>
      <c r="O60" s="2524" t="str">
        <f>IF(H19="元",NUMBERSTRING(INT(O59),2)&amp;"元整",NUMBERSTRING(INT(O59*10000),2)&amp;"元整")</f>
        <v>零元整</v>
      </c>
      <c r="P60" s="2525"/>
    </row>
    <row r="61" spans="1:17" ht="26.25" thickBot="1">
      <c r="A61" s="3548" t="s">
        <v>1811</v>
      </c>
      <c r="B61" s="3549"/>
      <c r="C61" s="3549"/>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2814</v>
      </c>
      <c r="H61" s="2094" t="s">
        <v>2740</v>
      </c>
      <c r="I61" s="2881" t="s">
        <v>2826</v>
      </c>
      <c r="J61" s="2853"/>
      <c r="K61" s="3647">
        <f>K59+1</f>
        <v>6</v>
      </c>
      <c r="L61" s="3649" t="s">
        <v>1812</v>
      </c>
      <c r="M61" s="2511" t="s">
        <v>1807</v>
      </c>
      <c r="N61" s="2526"/>
      <c r="O61" s="2527" t="e">
        <f>N51-O59</f>
        <v>#VALUE!</v>
      </c>
      <c r="P61" s="2528"/>
    </row>
    <row r="62" spans="1:17" ht="12" customHeight="1">
      <c r="A62" s="1457"/>
      <c r="B62" s="2561"/>
      <c r="C62" s="2561"/>
      <c r="D62" s="2561"/>
      <c r="E62" s="1457"/>
      <c r="F62" s="2980"/>
      <c r="G62" s="2980"/>
      <c r="H62" s="2975"/>
      <c r="I62" s="947"/>
      <c r="J62" s="2853"/>
      <c r="K62" s="3648"/>
      <c r="L62" s="3649"/>
      <c r="M62" s="2519" t="s">
        <v>1810</v>
      </c>
      <c r="N62" s="2523"/>
      <c r="O62" s="2524" t="e">
        <f>IF(H19="元",NUMBERSTRING(INT(O61),2)&amp;"元整",NUMBERSTRING(INT(O61*10000),2)&amp;"元整")</f>
        <v>#VALUE!</v>
      </c>
      <c r="P62" s="2525"/>
    </row>
    <row r="63" spans="1:17" ht="13.5" thickBot="1">
      <c r="A63" s="3650" t="s">
        <v>1813</v>
      </c>
      <c r="B63" s="3650"/>
      <c r="C63" s="3650"/>
      <c r="D63" s="3650"/>
      <c r="E63" s="3650"/>
      <c r="F63" s="2980"/>
      <c r="G63" s="2980"/>
      <c r="H63" s="2975"/>
      <c r="I63" s="947"/>
      <c r="J63" s="2845"/>
      <c r="K63" s="2511">
        <f>K61+1</f>
        <v>7</v>
      </c>
      <c r="L63" s="3649" t="s">
        <v>1814</v>
      </c>
      <c r="M63" s="3649"/>
      <c r="N63" s="2529"/>
      <c r="O63" s="2530" t="e">
        <f>IF(H19="元",ROUND(O61/项目基本情况!C12,0),ROUND(O61*10000/项目基本情况!C12,0))</f>
        <v>#VALUE!</v>
      </c>
      <c r="P63" s="2531"/>
    </row>
    <row r="64" spans="1:17" ht="12.75">
      <c r="A64" s="3583" t="s">
        <v>1815</v>
      </c>
      <c r="B64" s="3584"/>
      <c r="C64" s="1607"/>
      <c r="D64" s="1607" t="s">
        <v>1816</v>
      </c>
      <c r="E64" s="45" t="s">
        <v>1817</v>
      </c>
      <c r="F64" s="2980"/>
      <c r="G64" s="2980"/>
      <c r="H64" s="2975"/>
      <c r="I64" s="947"/>
      <c r="J64" s="2845"/>
      <c r="K64" s="1308"/>
      <c r="L64" s="1308"/>
      <c r="M64" s="1308"/>
      <c r="N64" s="1308"/>
      <c r="O64" s="1308"/>
    </row>
    <row r="65" spans="1:36" ht="12.75">
      <c r="A65" s="46">
        <v>1</v>
      </c>
      <c r="B65" s="47" t="s">
        <v>1818</v>
      </c>
      <c r="C65" s="2784">
        <f>ROUND((C66+C67)/(1+'数据-取费表'!F30),0)</f>
        <v>0</v>
      </c>
      <c r="D65" s="47"/>
      <c r="E65" s="48"/>
      <c r="F65" s="2980"/>
      <c r="G65" s="2980"/>
      <c r="H65" s="2975"/>
      <c r="I65" s="947"/>
      <c r="J65" s="2845"/>
      <c r="K65" s="3657" t="s">
        <v>1819</v>
      </c>
      <c r="L65" s="1307" t="s">
        <v>1820</v>
      </c>
      <c r="M65" s="1307" t="e">
        <f>IF(N51&gt;10000,N51*0.5%,IF(AND(N51&gt;1000,N51&lt;=10000),N51*1%,IF(AND(N51&gt;100,N51&lt;=1000),N51*3%,IF(AND(N51&gt;10,N51&lt;=100),N51*5%,N51*8%))))</f>
        <v>#VALUE!</v>
      </c>
      <c r="N65" s="235" t="e">
        <f>ROUND(M65,1)</f>
        <v>#VALUE!</v>
      </c>
      <c r="O65" s="2532"/>
    </row>
    <row r="66" spans="1:36" ht="12.75">
      <c r="A66" s="49" t="s">
        <v>71</v>
      </c>
      <c r="B66" s="50" t="s">
        <v>1821</v>
      </c>
      <c r="C66" s="2785">
        <f>D47</f>
        <v>0</v>
      </c>
      <c r="D66" s="50" t="s">
        <v>41</v>
      </c>
      <c r="E66" s="52"/>
      <c r="F66" s="2980"/>
      <c r="G66" s="2980"/>
      <c r="H66" s="2975"/>
      <c r="I66" s="947"/>
      <c r="J66" s="2845"/>
      <c r="K66" s="3657"/>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2" t="s">
        <v>1823</v>
      </c>
    </row>
    <row r="67" spans="1:36" ht="12.75">
      <c r="A67" s="49" t="s">
        <v>72</v>
      </c>
      <c r="B67" s="50" t="s">
        <v>1824</v>
      </c>
      <c r="C67" s="2786"/>
      <c r="D67" s="50"/>
      <c r="E67" s="52"/>
      <c r="F67" s="2980"/>
      <c r="G67" s="2980"/>
      <c r="H67" s="2975"/>
      <c r="I67" s="947"/>
      <c r="J67" s="2845"/>
      <c r="K67" s="3657"/>
      <c r="L67" s="1307" t="s">
        <v>1825</v>
      </c>
      <c r="M67" s="1307" t="e">
        <f>IF(N51&gt;1000,N51*0.1%,IF(AND(N51&gt;500,N51&lt;=1000),N51*0.5%,IF(AND(N51&gt;50,N51&lt;=500),N51*1%,IF(AND(N51&gt;1,N51&lt;=50),N51*1.5%))))</f>
        <v>#VALUE!</v>
      </c>
      <c r="N67" s="235" t="e">
        <f t="shared" si="2"/>
        <v>#VALUE!</v>
      </c>
      <c r="O67" s="2532" t="s">
        <v>1823</v>
      </c>
    </row>
    <row r="68" spans="1:36" ht="12.75">
      <c r="A68" s="53" t="s">
        <v>47</v>
      </c>
      <c r="B68" s="54" t="s">
        <v>1826</v>
      </c>
      <c r="C68" s="2787"/>
      <c r="D68" s="54" t="s">
        <v>41</v>
      </c>
      <c r="E68" s="1316" t="s">
        <v>1827</v>
      </c>
      <c r="F68" s="2980"/>
      <c r="G68" s="2980"/>
      <c r="H68" s="2975"/>
      <c r="I68" s="947"/>
      <c r="J68" s="2845"/>
      <c r="K68" s="3657"/>
      <c r="L68" s="1307" t="s">
        <v>1828</v>
      </c>
      <c r="M68" s="1307" t="e">
        <f>N51*0.5%</f>
        <v>#VALUE!</v>
      </c>
      <c r="N68" s="235" t="e">
        <f>IF(M68&gt;0.5,0.5,ROUND(M68,0))</f>
        <v>#VALUE!</v>
      </c>
      <c r="O68" s="2532" t="s">
        <v>1829</v>
      </c>
    </row>
    <row r="69" spans="1:36" ht="12.75">
      <c r="A69" s="53" t="s">
        <v>42</v>
      </c>
      <c r="B69" s="54" t="s">
        <v>1830</v>
      </c>
      <c r="C69" s="2788">
        <f>C65-C68</f>
        <v>0</v>
      </c>
      <c r="D69" s="50" t="s">
        <v>41</v>
      </c>
      <c r="E69" s="52"/>
      <c r="F69" s="2980"/>
      <c r="G69" s="2980"/>
      <c r="H69" s="2975"/>
      <c r="I69" s="947"/>
      <c r="J69" s="2845"/>
      <c r="K69" s="3657"/>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2"/>
    </row>
    <row r="70" spans="1:36" ht="13.5" thickBot="1">
      <c r="A70" s="55" t="s">
        <v>46</v>
      </c>
      <c r="B70" s="56" t="s">
        <v>1832</v>
      </c>
      <c r="C70" s="2789">
        <f>IF(C69&lt;=0,0,ROUND(C69*D70,0))</f>
        <v>0</v>
      </c>
      <c r="D70" s="2240">
        <f>'数据-取费表'!E29</f>
        <v>5.5000000000000007E-2</v>
      </c>
      <c r="E70" s="57"/>
      <c r="F70" s="2980"/>
      <c r="G70" s="2980"/>
      <c r="H70" s="2975"/>
      <c r="I70" s="947"/>
      <c r="J70" s="2845"/>
      <c r="K70" s="3657"/>
      <c r="L70" s="1307" t="s">
        <v>1833</v>
      </c>
      <c r="M70" s="1307" t="e">
        <f>IF(N51&gt;10000,N51*0.5%,IF(AND(N51&gt;5000,N51&lt;=10000),N51*1%,IF(AND(N51&gt;1000,N51&lt;=5000),N51*2%,IF(AND(N51&gt;200,N51&lt;=1000),N51*3%,N51*5%))))</f>
        <v>#VALUE!</v>
      </c>
      <c r="N70" s="235" t="e">
        <f>ROUND(M70,1)</f>
        <v>#VALUE!</v>
      </c>
      <c r="O70" s="2532"/>
    </row>
    <row r="71" spans="1:36" s="1465" customFormat="1" ht="7.5" customHeight="1">
      <c r="A71" s="1477"/>
      <c r="B71" s="1478"/>
      <c r="C71" s="2790"/>
      <c r="D71" s="2283"/>
      <c r="E71" s="1481"/>
      <c r="F71" s="1457"/>
      <c r="G71" s="1457"/>
      <c r="H71" s="1481"/>
      <c r="I71" s="2561"/>
      <c r="J71" s="2845"/>
      <c r="K71" s="3657"/>
      <c r="L71" s="1307" t="s">
        <v>1834</v>
      </c>
      <c r="M71" s="1307"/>
      <c r="N71" s="235" t="e">
        <f>ROUND(SUM(N65:N70),0)</f>
        <v>#VALUE!</v>
      </c>
      <c r="O71" s="2533"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644" t="s">
        <v>1835</v>
      </c>
      <c r="B72" s="3645"/>
      <c r="C72" s="3645"/>
      <c r="D72" s="3645"/>
      <c r="E72" s="3645"/>
      <c r="F72" s="3645"/>
      <c r="G72" s="3645"/>
      <c r="H72" s="3645"/>
      <c r="I72" s="1482"/>
      <c r="J72" s="2854"/>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583" t="s">
        <v>1815</v>
      </c>
      <c r="B73" s="3584"/>
      <c r="C73" s="1607"/>
      <c r="D73" s="1607" t="s">
        <v>1816</v>
      </c>
      <c r="E73" s="58" t="s">
        <v>1817</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88">
        <f>ROUND(D47/(1+'数据-取费表'!F30),0)</f>
        <v>0</v>
      </c>
      <c r="D74" s="50" t="s">
        <v>41</v>
      </c>
      <c r="E74" s="2086"/>
      <c r="F74" s="2087"/>
      <c r="G74" s="2087"/>
      <c r="H74" s="62"/>
      <c r="I74" s="2791"/>
      <c r="J74" s="2876"/>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88">
        <f>C76+C80</f>
        <v>0</v>
      </c>
      <c r="D75" s="50" t="s">
        <v>41</v>
      </c>
      <c r="E75" s="2086"/>
      <c r="F75" s="2087"/>
      <c r="G75" s="2087"/>
      <c r="H75" s="62"/>
      <c r="I75" s="2791"/>
      <c r="J75" s="2876"/>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6"/>
      <c r="F76" s="2087"/>
      <c r="G76" s="2087"/>
      <c r="H76" s="62"/>
      <c r="I76" s="2791"/>
      <c r="J76" s="2876"/>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6"/>
      <c r="D77" s="50" t="s">
        <v>41</v>
      </c>
      <c r="E77" s="64" t="s">
        <v>1841</v>
      </c>
      <c r="F77" s="2792" t="s">
        <v>1842</v>
      </c>
      <c r="G77" s="64" t="s">
        <v>1843</v>
      </c>
      <c r="H77" s="2793"/>
      <c r="I77" s="608"/>
      <c r="J77" s="287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4">
        <v>0.05</v>
      </c>
      <c r="E78" s="3526" t="s">
        <v>1845</v>
      </c>
      <c r="F78" s="3564"/>
      <c r="G78" s="3564"/>
      <c r="H78" s="3578"/>
      <c r="I78" s="2791"/>
      <c r="J78" s="287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3"/>
      <c r="G79" s="1486" t="s">
        <v>1848</v>
      </c>
      <c r="H79" s="2088"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6">
        <f>ROUND(D47*D80/(1+'数据-取费表'!F30),0)</f>
        <v>0</v>
      </c>
      <c r="D80" s="2797">
        <f>'数据-取费表'!E31</f>
        <v>5.000000000000001E-3</v>
      </c>
      <c r="E80" s="3558" t="s">
        <v>1850</v>
      </c>
      <c r="F80" s="3559"/>
      <c r="G80" s="3559"/>
      <c r="H80" s="3560"/>
      <c r="I80" s="609"/>
      <c r="J80" s="2878"/>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88">
        <f>C74-C75</f>
        <v>0</v>
      </c>
      <c r="D81" s="50" t="s">
        <v>41</v>
      </c>
      <c r="E81" s="2086"/>
      <c r="F81" s="2087"/>
      <c r="G81" s="2087"/>
      <c r="H81" s="62"/>
      <c r="I81" s="2791"/>
      <c r="J81" s="287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1"/>
      <c r="J82" s="287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799">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644" t="s">
        <v>1854</v>
      </c>
      <c r="B85" s="3645"/>
      <c r="C85" s="3645"/>
      <c r="D85" s="3645"/>
      <c r="E85" s="3645"/>
      <c r="F85" s="3645"/>
      <c r="G85" s="3645"/>
      <c r="H85" s="3645"/>
      <c r="I85" s="608"/>
      <c r="J85" s="287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583" t="s">
        <v>1815</v>
      </c>
      <c r="B86" s="3584"/>
      <c r="C86" s="1607"/>
      <c r="D86" s="1607" t="s">
        <v>1816</v>
      </c>
      <c r="E86" s="58" t="s">
        <v>1817</v>
      </c>
      <c r="F86" s="59"/>
      <c r="G86" s="59"/>
      <c r="H86" s="72"/>
      <c r="I86" s="608"/>
      <c r="J86" s="287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88">
        <f>ROUND(D47/(1+'数据-取费表'!F30),0)</f>
        <v>0</v>
      </c>
      <c r="D87" s="50" t="s">
        <v>41</v>
      </c>
      <c r="E87" s="2086"/>
      <c r="F87" s="2087"/>
      <c r="G87" s="2087"/>
      <c r="H87" s="73"/>
      <c r="I87" s="608"/>
      <c r="J87" s="287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88">
        <f>IF(H90="仅含出让金",C89+C92+C93+C94+C95+C96,C89+C93+C94+C95+C96)</f>
        <v>0</v>
      </c>
      <c r="D88" s="2800"/>
      <c r="E88" s="2086"/>
      <c r="F88" s="2087"/>
      <c r="G88" s="2087"/>
      <c r="H88" s="73"/>
      <c r="I88" s="608"/>
      <c r="J88" s="2877"/>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6">
        <f>C90+C91</f>
        <v>0</v>
      </c>
      <c r="D89" s="2797"/>
      <c r="E89" s="2083"/>
      <c r="F89" s="2084"/>
      <c r="G89" s="2084"/>
      <c r="H89" s="2085"/>
      <c r="I89" s="608"/>
      <c r="J89" s="287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1"/>
      <c r="D90" s="2797"/>
      <c r="E90" s="74" t="s">
        <v>1857</v>
      </c>
      <c r="F90" s="2084"/>
      <c r="G90" s="75" t="s">
        <v>1858</v>
      </c>
      <c r="H90" s="1488"/>
      <c r="I90" s="608"/>
      <c r="J90" s="2877"/>
      <c r="K90" s="2972"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6">
        <f>ROUND(C90*D91,0)</f>
        <v>0</v>
      </c>
      <c r="D91" s="2797">
        <f>'数据-取费表'!E36+'数据-取费表'!E37</f>
        <v>3.0499999999999999E-2</v>
      </c>
      <c r="E91" s="74" t="s">
        <v>1859</v>
      </c>
      <c r="F91" s="2084"/>
      <c r="G91" s="2084"/>
      <c r="H91" s="2085"/>
      <c r="I91" s="608"/>
      <c r="J91" s="287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1"/>
      <c r="D92" s="2797"/>
      <c r="E92" s="74" t="str">
        <f>IF(H90="-","土地取得成本中已包含该笔费用"," ")</f>
        <v xml:space="preserve"> </v>
      </c>
      <c r="F92" s="2084"/>
      <c r="G92" s="3619" t="s">
        <v>2735</v>
      </c>
      <c r="H92" s="3646"/>
      <c r="I92" s="608"/>
      <c r="J92" s="2877"/>
      <c r="K92" s="2972"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6">
        <f>IF(H93="——",成本法!C33,I93)</f>
        <v>0</v>
      </c>
      <c r="D93" s="2797"/>
      <c r="E93" s="3558" t="s">
        <v>1862</v>
      </c>
      <c r="F93" s="3559"/>
      <c r="G93" s="3559"/>
      <c r="H93" s="1489" t="s">
        <v>1863</v>
      </c>
      <c r="I93" s="2802"/>
      <c r="J93" s="2879"/>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6">
        <f>ROUND((C89+C92+C93)*D94,0)</f>
        <v>0</v>
      </c>
      <c r="D94" s="2797">
        <v>0.1</v>
      </c>
      <c r="E94" s="3558" t="s">
        <v>1865</v>
      </c>
      <c r="F94" s="3559"/>
      <c r="G94" s="3559"/>
      <c r="H94" s="3560"/>
      <c r="I94" s="608"/>
      <c r="J94" s="2877"/>
      <c r="K94" s="2973"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6">
        <f>ROUND(D47*D95/(1+'数据-取费表'!F30),0)</f>
        <v>0</v>
      </c>
      <c r="D95" s="2797">
        <f>'数据-取费表'!E31</f>
        <v>5.000000000000001E-3</v>
      </c>
      <c r="E95" s="3558" t="s">
        <v>1850</v>
      </c>
      <c r="F95" s="3559"/>
      <c r="G95" s="3559"/>
      <c r="H95" s="3560"/>
      <c r="I95" s="608"/>
      <c r="J95" s="287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6">
        <f>ROUND((C89+C92+C93)*D96,0)</f>
        <v>0</v>
      </c>
      <c r="D96" s="2797">
        <v>0.2</v>
      </c>
      <c r="E96" s="3558" t="s">
        <v>1867</v>
      </c>
      <c r="F96" s="3559"/>
      <c r="G96" s="3559"/>
      <c r="H96" s="3560"/>
      <c r="I96" s="608"/>
      <c r="J96" s="287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88">
        <f>ROUND(C87-C88,0)</f>
        <v>0</v>
      </c>
      <c r="D97" s="50" t="s">
        <v>41</v>
      </c>
      <c r="E97" s="2086"/>
      <c r="F97" s="2087"/>
      <c r="G97" s="2087"/>
      <c r="H97" s="73"/>
      <c r="I97" s="608"/>
      <c r="J97" s="287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7"/>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605" t="s">
        <v>1869</v>
      </c>
      <c r="B101" s="3606"/>
      <c r="C101" s="3606"/>
      <c r="D101" s="3607"/>
      <c r="E101" s="1461"/>
      <c r="F101" s="3641" t="s">
        <v>2777</v>
      </c>
      <c r="G101" s="3642"/>
      <c r="H101" s="3642"/>
      <c r="I101" s="3643"/>
      <c r="J101" s="2880"/>
    </row>
    <row r="102" spans="1:36" ht="15">
      <c r="A102" s="3617" t="s">
        <v>1871</v>
      </c>
      <c r="B102" s="3618"/>
      <c r="C102" s="2803">
        <f>C4</f>
        <v>0</v>
      </c>
      <c r="D102" s="2804">
        <f>D4</f>
        <v>0</v>
      </c>
      <c r="E102" s="1461"/>
      <c r="F102" s="3529" t="s">
        <v>2778</v>
      </c>
      <c r="G102" s="3530"/>
      <c r="H102" s="3535" t="s">
        <v>2779</v>
      </c>
      <c r="I102" s="3528"/>
      <c r="J102" s="2860"/>
    </row>
    <row r="103" spans="1:36" ht="12.75">
      <c r="A103" s="3638" t="s">
        <v>2773</v>
      </c>
      <c r="B103" s="2305" t="str">
        <f>IF(H19="元","总价（元）","总价（万元）")</f>
        <v>总价（元）</v>
      </c>
      <c r="C103" s="1307" t="e">
        <f ca="1">C19</f>
        <v>#REF!</v>
      </c>
      <c r="D103" s="2807" t="e">
        <f ca="1">D19</f>
        <v>#REF!</v>
      </c>
      <c r="E103" s="1461"/>
      <c r="F103" s="3639"/>
      <c r="G103" s="3640"/>
      <c r="H103" s="3527">
        <f>典型户型修正!B25</f>
        <v>0</v>
      </c>
      <c r="I103" s="3528"/>
      <c r="J103" s="2860"/>
    </row>
    <row r="104" spans="1:36" ht="12.75">
      <c r="A104" s="3638"/>
      <c r="B104" s="2305" t="s">
        <v>2774</v>
      </c>
      <c r="C104" s="2808" t="e">
        <f ca="1">C20</f>
        <v>#REF!</v>
      </c>
      <c r="D104" s="2809" t="e">
        <f ca="1">D20</f>
        <v>#REF!</v>
      </c>
      <c r="E104" s="1461"/>
      <c r="F104" s="3539" t="s">
        <v>2780</v>
      </c>
      <c r="G104" s="3540"/>
      <c r="H104" s="2817" t="str">
        <f>C110</f>
        <v>总价（元）</v>
      </c>
      <c r="I104" s="2818">
        <f>H125</f>
        <v>0</v>
      </c>
      <c r="J104" s="2860"/>
    </row>
    <row r="105" spans="1:36" ht="12.75">
      <c r="A105" s="3638" t="s">
        <v>2775</v>
      </c>
      <c r="B105" s="2243" t="str">
        <f>B103</f>
        <v>总价（元）</v>
      </c>
      <c r="C105" s="12" t="e">
        <f ca="1">ROUND(IF('数据-取费表'!B4="总价",G19,IF(H19="元",G20*'数据-取费表'!E5,G20*'数据-取费表'!E5/10000)),0)</f>
        <v>#REF!</v>
      </c>
      <c r="D105" s="2810"/>
      <c r="E105" s="1461"/>
      <c r="F105" s="3539"/>
      <c r="G105" s="3540"/>
      <c r="H105" s="2817" t="s">
        <v>2781</v>
      </c>
      <c r="I105" s="52" t="e">
        <f>I125</f>
        <v>#DIV/0!</v>
      </c>
      <c r="J105" s="2844"/>
    </row>
    <row r="106" spans="1:36" ht="12.75">
      <c r="A106" s="3638"/>
      <c r="B106" s="2305" t="s">
        <v>2774</v>
      </c>
      <c r="C106" s="1481" t="e">
        <f ca="1">ROUND(IF('数据-取费表'!B4="楼面单价",G20,IF(H19="元",G19/'数据-取费表'!E5,G19*10000/'数据-取费表'!E5)),0)</f>
        <v>#REF!</v>
      </c>
      <c r="D106" s="2810"/>
      <c r="E106" s="1461"/>
      <c r="F106" s="3539"/>
      <c r="G106" s="3540"/>
      <c r="H106" s="3599"/>
      <c r="I106" s="3600"/>
      <c r="J106" s="2861"/>
    </row>
    <row r="107" spans="1:36" ht="12.75">
      <c r="A107" s="3632" t="s">
        <v>2776</v>
      </c>
      <c r="B107" s="2811" t="str">
        <f>B103</f>
        <v>总价（元）</v>
      </c>
      <c r="C107" s="2812">
        <f>H125</f>
        <v>0</v>
      </c>
      <c r="D107" s="2813"/>
      <c r="E107" s="1461"/>
      <c r="F107" s="3603" t="s">
        <v>2782</v>
      </c>
      <c r="G107" s="3604"/>
      <c r="H107" s="2819" t="str">
        <f>C112</f>
        <v>总额（元）</v>
      </c>
      <c r="I107" s="2818">
        <f>SUMIF(I108:I110,"&lt;9E307")</f>
        <v>0</v>
      </c>
      <c r="J107" s="2860"/>
    </row>
    <row r="108" spans="1:36" ht="15" thickBot="1">
      <c r="A108" s="3598"/>
      <c r="B108" s="2814" t="s">
        <v>2774</v>
      </c>
      <c r="C108" s="2815" t="e">
        <f>I125</f>
        <v>#DIV/0!</v>
      </c>
      <c r="D108" s="2816"/>
      <c r="E108" s="1461"/>
      <c r="F108" s="3541" t="s">
        <v>2783</v>
      </c>
      <c r="G108" s="3542"/>
      <c r="H108" s="2819" t="str">
        <f>C113</f>
        <v>总额（元）</v>
      </c>
      <c r="I108" s="2820">
        <f>IF(D38="同一抵押权人同一抵押物续贷",C38&amp;"（续贷，未扣减，详见特别提示）",C38)</f>
        <v>0</v>
      </c>
      <c r="J108" s="2844"/>
      <c r="L108" s="1464" t="str">
        <f>IF(D125=0,"本次评估不存在"&amp;A125&amp;"。","本次评估"&amp;A125&amp;"为"&amp;D125&amp;"元人民币。")</f>
        <v>本次评估不存在北京市房地产。</v>
      </c>
      <c r="M108" s="1461"/>
      <c r="N108" s="1461"/>
      <c r="O108" s="1461"/>
      <c r="P108" s="1461"/>
      <c r="Q108" s="1461"/>
    </row>
    <row r="109" spans="1:36" ht="15">
      <c r="A109" s="3635" t="s">
        <v>1872</v>
      </c>
      <c r="B109" s="3636"/>
      <c r="C109" s="3636"/>
      <c r="D109" s="3637"/>
      <c r="E109" s="1461"/>
      <c r="F109" s="3541" t="s">
        <v>2784</v>
      </c>
      <c r="G109" s="3542"/>
      <c r="H109" s="2819" t="str">
        <f>C114</f>
        <v>总额（元）</v>
      </c>
      <c r="I109" s="52">
        <f>C39</f>
        <v>0</v>
      </c>
      <c r="J109" s="2844"/>
    </row>
    <row r="110" spans="1:36" ht="12.75">
      <c r="A110" s="3539" t="s">
        <v>2787</v>
      </c>
      <c r="B110" s="3540"/>
      <c r="C110" s="2817" t="str">
        <f>B103</f>
        <v>总价（元）</v>
      </c>
      <c r="D110" s="2818">
        <f>H125</f>
        <v>0</v>
      </c>
      <c r="E110" s="1461"/>
      <c r="F110" s="3541" t="s">
        <v>2785</v>
      </c>
      <c r="G110" s="3542"/>
      <c r="H110" s="2819" t="str">
        <f>C115</f>
        <v>总额（元）</v>
      </c>
      <c r="I110" s="52">
        <f>C40</f>
        <v>0</v>
      </c>
      <c r="J110" s="2844"/>
    </row>
    <row r="111" spans="1:36" ht="12.75">
      <c r="A111" s="3539"/>
      <c r="B111" s="3540"/>
      <c r="C111" s="2817" t="s">
        <v>2788</v>
      </c>
      <c r="D111" s="52" t="e">
        <f>I125</f>
        <v>#DIV/0!</v>
      </c>
      <c r="E111" s="1461"/>
      <c r="F111" s="3539"/>
      <c r="G111" s="3540"/>
      <c r="H111" s="3601"/>
      <c r="I111" s="3602"/>
      <c r="J111" s="2862"/>
    </row>
    <row r="112" spans="1:36" ht="28.5" customHeight="1">
      <c r="A112" s="3546" t="s">
        <v>2782</v>
      </c>
      <c r="B112" s="3547"/>
      <c r="C112" s="2819" t="str">
        <f>IF(H19="元","总额（元）","总额（万元）")</f>
        <v>总额（元）</v>
      </c>
      <c r="D112" s="2818">
        <f>IF(D38="正常操作",I108+I109+I110,I109+I110)</f>
        <v>0</v>
      </c>
      <c r="E112" s="1461"/>
      <c r="F112" s="3531" t="str">
        <f>IF(项目基本情况!F5="已注销","——","3.房地产抵押价值")</f>
        <v>3.房地产抵押价值</v>
      </c>
      <c r="G112" s="3532"/>
      <c r="H112" s="1481" t="str">
        <f>C116</f>
        <v>总价（元）</v>
      </c>
      <c r="I112" s="2818">
        <f>IF(F112="——","——",I104-I107)</f>
        <v>0</v>
      </c>
      <c r="J112" s="2860"/>
    </row>
    <row r="113" spans="1:27" ht="12.75">
      <c r="A113" s="3541" t="s">
        <v>2789</v>
      </c>
      <c r="B113" s="3542"/>
      <c r="C113" s="2819" t="str">
        <f>C112</f>
        <v>总额（元）</v>
      </c>
      <c r="D113" s="52">
        <f>IF(D38="同一抵押权人同一抵押物续贷",C38&amp;"（未扣减，详见特别提示）",C38)</f>
        <v>0</v>
      </c>
      <c r="E113" s="1461"/>
      <c r="F113" s="3630"/>
      <c r="G113" s="3631"/>
      <c r="H113" s="2817" t="s">
        <v>2781</v>
      </c>
      <c r="I113" s="2821" t="e">
        <f>D117</f>
        <v>#DIV/0!</v>
      </c>
      <c r="J113" s="2863"/>
    </row>
    <row r="114" spans="1:27" ht="12.75">
      <c r="A114" s="3541" t="s">
        <v>2790</v>
      </c>
      <c r="B114" s="3542"/>
      <c r="C114" s="2819" t="str">
        <f>C112</f>
        <v>总额（元）</v>
      </c>
      <c r="D114" s="52">
        <f>C39</f>
        <v>0</v>
      </c>
      <c r="E114" s="1461"/>
      <c r="F114" s="3531" t="str">
        <f>IF(项目基本情况!F5="已注销及未注销","4.抵押担保权已注销时的房地产抵押价值",IF(项目基本情况!F5="已注销","3.抵押担保权已注销时的房地产抵押价值","——"))</f>
        <v>——</v>
      </c>
      <c r="G114" s="3532"/>
      <c r="H114" s="1481" t="str">
        <f>C118</f>
        <v>总价（元）</v>
      </c>
      <c r="I114" s="2818" t="str">
        <f>IF(F114="——","——",I104-I109-I110)</f>
        <v>——</v>
      </c>
      <c r="J114" s="2860"/>
    </row>
    <row r="115" spans="1:27" ht="12.75">
      <c r="A115" s="3541" t="s">
        <v>2791</v>
      </c>
      <c r="B115" s="3542"/>
      <c r="C115" s="2819" t="str">
        <f>C112</f>
        <v>总额（元）</v>
      </c>
      <c r="D115" s="52">
        <f>C40</f>
        <v>0</v>
      </c>
      <c r="E115" s="1461"/>
      <c r="F115" s="3630"/>
      <c r="G115" s="3631"/>
      <c r="H115" s="2817" t="s">
        <v>2781</v>
      </c>
      <c r="I115" s="52" t="str">
        <f>D119</f>
        <v>——</v>
      </c>
      <c r="J115" s="2844"/>
    </row>
    <row r="116" spans="1:27" ht="12.75">
      <c r="A116" s="3539" t="str">
        <f>IF(项目基本情况!F5="已注销","——","3.房地产抵押价值")</f>
        <v>3.房地产抵押价值</v>
      </c>
      <c r="B116" s="3540"/>
      <c r="C116" s="2817" t="str">
        <f>B103</f>
        <v>总价（元）</v>
      </c>
      <c r="D116" s="2818">
        <f>IF(A116="——","——",D110-D112)</f>
        <v>0</v>
      </c>
      <c r="E116" s="1461"/>
      <c r="F116" s="3531" t="str">
        <f>IF(项目基本情况!G5="抵押净值",IF(OR(项目基本情况!F5="已注销",项目基本情况!F5="房地产抵押价值"),"4.抵押净值","5.抵押净值"),"——")</f>
        <v>——</v>
      </c>
      <c r="G116" s="3532"/>
      <c r="H116" s="2817" t="str">
        <f>C120</f>
        <v>总价（元）</v>
      </c>
      <c r="I116" s="2818" t="str">
        <f>IF(F116="——","——",O61)</f>
        <v>——</v>
      </c>
      <c r="J116" s="2860"/>
    </row>
    <row r="117" spans="1:27" ht="13.5" thickBot="1">
      <c r="A117" s="3539"/>
      <c r="B117" s="3540"/>
      <c r="C117" s="2817" t="s">
        <v>2788</v>
      </c>
      <c r="D117" s="52" t="e">
        <f>ROUND(IF(D116=D110,D111,IF(H19="元",D116/B125,D116*10000/B125)),0)</f>
        <v>#DIV/0!</v>
      </c>
      <c r="E117" s="1461"/>
      <c r="F117" s="3533"/>
      <c r="G117" s="3534"/>
      <c r="H117" s="2822" t="s">
        <v>2781</v>
      </c>
      <c r="I117" s="2806" t="str">
        <f>D121</f>
        <v>——</v>
      </c>
      <c r="J117" s="2844"/>
    </row>
    <row r="118" spans="1:27" ht="15.75">
      <c r="A118" s="3539" t="str">
        <f>IF(项目基本情况!F5="已注销及未注销","4.抵押担保权已注销时的房地产抵押价值",IF(项目基本情况!F5="已注销","3.抵押担保权已注销时的房地产抵押价值","——"))</f>
        <v>——</v>
      </c>
      <c r="B118" s="3540"/>
      <c r="C118" s="2817" t="str">
        <f>B103</f>
        <v>总价（元）</v>
      </c>
      <c r="D118" s="2818" t="str">
        <f>IF(A118="——","——",D110-D114-D115)</f>
        <v>——</v>
      </c>
      <c r="E118" s="1461"/>
      <c r="F118" s="3625"/>
      <c r="G118" s="3625"/>
      <c r="H118" s="3589"/>
      <c r="I118" s="3589"/>
      <c r="J118" s="2864"/>
      <c r="O118" s="32"/>
      <c r="P118" s="32"/>
    </row>
    <row r="119" spans="1:27" s="1308" customFormat="1" ht="12.75">
      <c r="A119" s="3539"/>
      <c r="B119" s="3540"/>
      <c r="C119" s="2817" t="s">
        <v>2788</v>
      </c>
      <c r="D119" s="52" t="str">
        <f>IF(A118="——","——",IF(H19="元",ROUND(D118/B125,0),ROUND(D118*10000/B125,0)))</f>
        <v>——</v>
      </c>
      <c r="E119" s="1461"/>
      <c r="F119" s="3634" t="str">
        <f>IF(B33="总价","（以上估价结果中楼面单价为总价除以建筑面积得出）","（以上估价结果中总价为楼面单价乘以建筑面积得出）")</f>
        <v>（以上估价结果中总价为楼面单价乘以建筑面积得出）</v>
      </c>
      <c r="G119" s="3634"/>
      <c r="H119" s="3634"/>
      <c r="I119" s="3634"/>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539" t="str">
        <f>IF(项目基本情况!G5="抵押净值",IF(OR(项目基本情况!F5="已注销",项目基本情况!F5="房地产抵押价值"),"4.抵押净值","5.抵押净值"),"——")</f>
        <v>——</v>
      </c>
      <c r="B120" s="3540"/>
      <c r="C120" s="2817" t="str">
        <f>B103</f>
        <v>总价（元）</v>
      </c>
      <c r="D120" s="2818" t="str">
        <f>IF(A120="——","——",O61)</f>
        <v>——</v>
      </c>
      <c r="E120" s="1461"/>
      <c r="F120" s="1515"/>
      <c r="G120" s="1515"/>
      <c r="H120" s="1515"/>
      <c r="I120" s="1515"/>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544"/>
      <c r="B121" s="3545"/>
      <c r="C121" s="2822" t="s">
        <v>2788</v>
      </c>
      <c r="D121" s="2806" t="str">
        <f>IF(D120=D110,D111,IF(A120="——","——",O63))</f>
        <v>——</v>
      </c>
      <c r="E121" s="1461"/>
      <c r="F121" s="1515"/>
      <c r="G121" s="1515"/>
      <c r="H121" s="1515"/>
      <c r="I121" s="1515"/>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590" t="s">
        <v>1911</v>
      </c>
      <c r="B122" s="3591"/>
      <c r="C122" s="3591"/>
      <c r="D122" s="3591"/>
      <c r="E122" s="3591"/>
      <c r="F122" s="3591"/>
      <c r="G122" s="3591"/>
      <c r="H122" s="3591"/>
      <c r="I122" s="3591"/>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524" t="s">
        <v>2792</v>
      </c>
      <c r="B123" s="3550" t="s">
        <v>2793</v>
      </c>
      <c r="C123" s="3550" t="s">
        <v>2799</v>
      </c>
      <c r="D123" s="3612" t="s">
        <v>2794</v>
      </c>
      <c r="E123" s="3613"/>
      <c r="F123" s="3525" t="s">
        <v>2800</v>
      </c>
      <c r="G123" s="3525"/>
      <c r="H123" s="3525" t="s">
        <v>2795</v>
      </c>
      <c r="I123" s="3611"/>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524"/>
      <c r="B124" s="3551"/>
      <c r="C124" s="3551"/>
      <c r="D124" s="2090" t="s">
        <v>2796</v>
      </c>
      <c r="E124" s="2090" t="s">
        <v>2801</v>
      </c>
      <c r="F124" s="2090" t="s">
        <v>2796</v>
      </c>
      <c r="G124" s="2090" t="s">
        <v>2797</v>
      </c>
      <c r="H124" s="2090" t="s">
        <v>2796</v>
      </c>
      <c r="I124" s="52" t="s">
        <v>2797</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6"/>
      <c r="D125" s="2090">
        <f>C36</f>
        <v>0</v>
      </c>
      <c r="E125" s="2090" t="e">
        <f>ROUND(IF(H19="元",D125/B125,D125*10000/B125),0)</f>
        <v>#DIV/0!</v>
      </c>
      <c r="F125" s="2090">
        <f>C37</f>
        <v>0</v>
      </c>
      <c r="G125" s="2090" t="e">
        <f>ROUND(IF(H19="元",F125/B125,F125*10000/B125),0)</f>
        <v>#DIV/0!</v>
      </c>
      <c r="H125" s="2090">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524" t="s">
        <v>2798</v>
      </c>
      <c r="B126" s="3525"/>
      <c r="C126" s="3525"/>
      <c r="D126" s="3552" t="str">
        <f>IF(H19="元",NUMBERSTRING(INT(D125),2)&amp;"元整",NUMBERSTRING(INT(D125*10000),2)&amp;"元整")</f>
        <v>零元整</v>
      </c>
      <c r="E126" s="3595"/>
      <c r="F126" s="3552" t="str">
        <f>IF(H19="元",NUMBERSTRING(INT(F125),2)&amp;"元整",NUMBERSTRING(INT(F125*10000),2)&amp;"元整")</f>
        <v>零元整</v>
      </c>
      <c r="G126" s="3595"/>
      <c r="H126" s="3552" t="str">
        <f>IF(H19="元",NUMBERSTRING(INT(H125),2)&amp;"元整",NUMBERSTRING(INT(H125*10000),2)&amp;"元整")</f>
        <v>零元整</v>
      </c>
      <c r="I126" s="3553"/>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529" t="str">
        <f>IF(项目基本情况!D5="房地产市场价值","——",MID(A112,3,LEN(A112)-2))</f>
        <v>——</v>
      </c>
      <c r="B127" s="3535"/>
      <c r="C127" s="3530"/>
      <c r="D127" s="3527">
        <f>I107</f>
        <v>0</v>
      </c>
      <c r="E127" s="3535"/>
      <c r="F127" s="3535"/>
      <c r="G127" s="3535"/>
      <c r="H127" s="3535"/>
      <c r="I127" s="3528"/>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596" t="s">
        <v>2798</v>
      </c>
      <c r="B128" s="3564"/>
      <c r="C128" s="3565"/>
      <c r="D128" s="3536">
        <f>H111</f>
        <v>0</v>
      </c>
      <c r="E128" s="3537"/>
      <c r="F128" s="3537"/>
      <c r="G128" s="3537"/>
      <c r="H128" s="3537"/>
      <c r="I128" s="3538"/>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539" t="str">
        <f>IF(项目基本情况!D5="房地产市场价值","——",MID(A116,3,LEN(A116)-2))</f>
        <v>——</v>
      </c>
      <c r="B129" s="3540"/>
      <c r="C129" s="3540"/>
      <c r="D129" s="3527">
        <f>I112</f>
        <v>0</v>
      </c>
      <c r="E129" s="3535"/>
      <c r="F129" s="3535"/>
      <c r="G129" s="3535"/>
      <c r="H129" s="3535"/>
      <c r="I129" s="3528"/>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524" t="s">
        <v>2798</v>
      </c>
      <c r="B130" s="3525"/>
      <c r="C130" s="3525"/>
      <c r="D130" s="3536" t="e">
        <f>I113</f>
        <v>#DIV/0!</v>
      </c>
      <c r="E130" s="3537"/>
      <c r="F130" s="3537"/>
      <c r="G130" s="3537"/>
      <c r="H130" s="3537"/>
      <c r="I130" s="3538"/>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539" t="str">
        <f>IF(项目基本情况!D5="房地产市场价值","——",MID(A118,3,LEN(A118)-2))</f>
        <v>——</v>
      </c>
      <c r="B131" s="3540"/>
      <c r="C131" s="3540"/>
      <c r="D131" s="3572" t="str">
        <f>I114</f>
        <v>——</v>
      </c>
      <c r="E131" s="3573"/>
      <c r="F131" s="3573"/>
      <c r="G131" s="3573"/>
      <c r="H131" s="3573"/>
      <c r="I131" s="3624"/>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524" t="s">
        <v>2798</v>
      </c>
      <c r="B132" s="3525"/>
      <c r="C132" s="3526"/>
      <c r="D132" s="3588" t="str">
        <f>I115</f>
        <v>——</v>
      </c>
      <c r="E132" s="3588"/>
      <c r="F132" s="3588"/>
      <c r="G132" s="3588"/>
      <c r="H132" s="3588"/>
      <c r="I132" s="3588"/>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539" t="str">
        <f>IF(项目基本情况!D5="房地产市场价值","——",MID(F116,3,LEN(F116)-2))</f>
        <v>——</v>
      </c>
      <c r="B133" s="3540"/>
      <c r="C133" s="3527"/>
      <c r="D133" s="3543" t="str">
        <f>I116</f>
        <v>——</v>
      </c>
      <c r="E133" s="3543"/>
      <c r="F133" s="3543"/>
      <c r="G133" s="3543"/>
      <c r="H133" s="3543"/>
      <c r="I133" s="3543"/>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548" t="s">
        <v>2798</v>
      </c>
      <c r="B134" s="3549"/>
      <c r="C134" s="3549"/>
      <c r="D134" s="3554">
        <f>H118</f>
        <v>0</v>
      </c>
      <c r="E134" s="3555"/>
      <c r="F134" s="3555"/>
      <c r="G134" s="3555"/>
      <c r="H134" s="3555"/>
      <c r="I134" s="3556"/>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522" t="str">
        <f>IF(B33="总价","（以上估价结果中楼面单价为总价除以建筑面积得出）","（以上估价结果中总价为楼面单价乘以建筑面积得出）")</f>
        <v>（以上估价结果中总价为楼面单价乘以建筑面积得出）</v>
      </c>
      <c r="B136" s="3522"/>
      <c r="C136" s="3522"/>
      <c r="D136" s="3522"/>
      <c r="E136" s="3522"/>
      <c r="F136" s="3522"/>
      <c r="G136" s="3522"/>
      <c r="H136" s="3522"/>
      <c r="I136" s="3522"/>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5" sqref="C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398883</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6214</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1917</v>
      </c>
      <c r="B5" s="89" t="s">
        <v>1918</v>
      </c>
      <c r="C5" s="111">
        <f>C6+C7+C8</f>
        <v>204528</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'[2]2002基准地价'!$E$18</f>
        <v>198475</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6053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t="str">
        <f>IF(G8="已包含在土地购买价格中","0",'数据-取费表'!E13)</f>
        <v>0</v>
      </c>
      <c r="D8" s="1170"/>
      <c r="E8" s="115"/>
      <c r="F8" s="1169"/>
      <c r="G8" s="1518" t="s">
        <v>2938</v>
      </c>
    </row>
    <row r="9" spans="1:123" s="91" customFormat="1" ht="13.5" customHeight="1">
      <c r="A9" s="993" t="s">
        <v>945</v>
      </c>
      <c r="B9" s="97" t="s">
        <v>1928</v>
      </c>
      <c r="C9" s="1171">
        <f>ROUND(D9*E9,0)</f>
        <v>10270</v>
      </c>
      <c r="D9" s="1172">
        <f>IF('数据-取费表'!B10="住宅",IF(B1="仅计算典型户型",'数据-取费表'!E5,'数据-取费表'!B5),0)</f>
        <v>64.19</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190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64.19</v>
      </c>
      <c r="E19" s="111">
        <f>'数据-取费表'!E15</f>
        <v>200</v>
      </c>
      <c r="F19" s="112"/>
      <c r="G19" s="1518" t="s">
        <v>2939</v>
      </c>
    </row>
    <row r="20" spans="1:123" s="91" customFormat="1" ht="13.5" customHeight="1">
      <c r="A20" s="120" t="s">
        <v>1941</v>
      </c>
      <c r="B20" s="89" t="s">
        <v>1942</v>
      </c>
      <c r="C20" s="99">
        <f>ROUND((C5+C19)*F20,0)</f>
        <v>3068</v>
      </c>
      <c r="D20" s="99"/>
      <c r="E20" s="99"/>
      <c r="F20" s="103">
        <f>'数据-取费表'!E25</f>
        <v>1.4999999999999999E-2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1.4999999999999999E-2</v>
      </c>
      <c r="D21" s="102" t="s">
        <v>1946</v>
      </c>
      <c r="E21" s="99"/>
      <c r="F21" s="103">
        <f>'数据-取费表'!E26</f>
        <v>1.4999999999999999E-2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11972</v>
      </c>
      <c r="D22" s="101">
        <f ca="1">C26</f>
        <v>4.0000000000000002E-4</v>
      </c>
      <c r="E22" s="102" t="s">
        <v>1946</v>
      </c>
      <c r="F22" s="103">
        <f ca="1">'数据-取费表'!E27</f>
        <v>5.8099999999999992E-2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11883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89</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16608</v>
      </c>
      <c r="D27" s="101">
        <f>C29</f>
        <v>1.1999999999999999E-3</v>
      </c>
      <c r="E27" s="102" t="s">
        <v>1946</v>
      </c>
      <c r="F27" s="112">
        <f>'数据-取费表'!E28</f>
        <v>0.08</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16608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1.1999999999999999E-3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5.5E-2</v>
      </c>
      <c r="D30" s="102" t="s">
        <v>1946</v>
      </c>
      <c r="E30" s="107"/>
      <c r="F30" s="103">
        <f>'数据-取费表'!E29</f>
        <v>5.5000000000000007E-2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254390</v>
      </c>
      <c r="D31" s="1175"/>
      <c r="E31" s="111"/>
      <c r="F31" s="1176"/>
      <c r="G31" s="100" t="s">
        <v>1968</v>
      </c>
    </row>
    <row r="32" spans="1:123" s="88" customFormat="1" ht="15.75">
      <c r="A32" s="117" t="s">
        <v>1969</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1970</v>
      </c>
      <c r="B33" s="89" t="s">
        <v>1971</v>
      </c>
      <c r="C33" s="121">
        <f>SUM(C34:C38)</f>
        <v>150846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128380</v>
      </c>
      <c r="D34" s="1167"/>
      <c r="E34" s="115"/>
      <c r="F34" s="1178" t="str">
        <f>IF('数据-取费表'!B26=0,"",'数据-取费表'!E20)</f>
        <v/>
      </c>
      <c r="G34" s="95"/>
    </row>
    <row r="35" spans="1:123" ht="13.5" customHeight="1">
      <c r="A35" s="92" t="s">
        <v>1924</v>
      </c>
      <c r="B35" s="93" t="s">
        <v>1973</v>
      </c>
      <c r="C35" s="115">
        <f>ROUND(C34*F35,0)</f>
        <v>3851</v>
      </c>
      <c r="D35" s="115"/>
      <c r="E35" s="115"/>
      <c r="F35" s="1179">
        <f>'数据-取费表'!E21</f>
        <v>0.03</v>
      </c>
      <c r="G35" s="95" t="s">
        <v>1974</v>
      </c>
    </row>
    <row r="36" spans="1:123" ht="24">
      <c r="A36" s="92" t="s">
        <v>1926</v>
      </c>
      <c r="B36" s="93" t="s">
        <v>1975</v>
      </c>
      <c r="C36" s="115">
        <f>ROUND(IF('数据-取费表'!B10="住宅",C34*F36,0),0)</f>
        <v>3851</v>
      </c>
      <c r="D36" s="115"/>
      <c r="E36" s="115"/>
      <c r="F36" s="1179">
        <f>'数据-取费表'!E22</f>
        <v>0.03</v>
      </c>
      <c r="G36" s="123" t="s">
        <v>1976</v>
      </c>
    </row>
    <row r="37" spans="1:123" s="122" customFormat="1" ht="13.5" customHeight="1">
      <c r="A37" s="92" t="s">
        <v>1957</v>
      </c>
      <c r="B37" s="93" t="s">
        <v>1977</v>
      </c>
      <c r="C37" s="115">
        <f>ROUND(E37*D37,0)</f>
        <v>12838</v>
      </c>
      <c r="D37" s="1167">
        <f>IF(B1="仅计算典型户型",'数据-取费表'!E5,'数据-取费表'!B5)</f>
        <v>64.19</v>
      </c>
      <c r="E37" s="115">
        <f>'数据-取费表'!E23</f>
        <v>200</v>
      </c>
      <c r="F37" s="1179"/>
      <c r="G37" s="124" t="s">
        <v>1978</v>
      </c>
    </row>
    <row r="38" spans="1:123" ht="13.5" customHeight="1">
      <c r="A38" s="92" t="s">
        <v>1979</v>
      </c>
      <c r="B38" s="93" t="s">
        <v>1980</v>
      </c>
      <c r="C38" s="115">
        <f>ROUND(C34*F38,0)</f>
        <v>1926</v>
      </c>
      <c r="D38" s="115"/>
      <c r="E38" s="115"/>
      <c r="F38" s="1179">
        <f>'数据-取费表'!E24</f>
        <v>1.4999999999999999E-2</v>
      </c>
      <c r="G38" s="95" t="s">
        <v>1974</v>
      </c>
    </row>
    <row r="39" spans="1:123" s="91" customFormat="1" ht="13.5" customHeight="1">
      <c r="A39" s="120" t="s">
        <v>1939</v>
      </c>
      <c r="B39" s="89" t="s">
        <v>1942</v>
      </c>
      <c r="C39" s="99">
        <f>ROUND(C33*F20,0)</f>
        <v>2263</v>
      </c>
      <c r="D39" s="99"/>
      <c r="E39" s="99"/>
      <c r="F39" s="2886">
        <f>F20</f>
        <v>1.4999999999999999E-2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1.4999999999999999E-2</v>
      </c>
      <c r="D40" s="102" t="s">
        <v>1982</v>
      </c>
      <c r="E40" s="99"/>
      <c r="F40" s="2886">
        <f>F21</f>
        <v>1.4999999999999999E-2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4448</v>
      </c>
      <c r="D41" s="101">
        <f ca="1">C44</f>
        <v>4.0000000000000002E-4</v>
      </c>
      <c r="E41" s="102" t="s">
        <v>1982</v>
      </c>
      <c r="F41" s="2886">
        <f ca="1">F22</f>
        <v>5.8099999999999992E-2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4382</v>
      </c>
      <c r="D42" s="104"/>
      <c r="E42" s="104"/>
      <c r="F42" s="105"/>
      <c r="G42" s="3661" t="s">
        <v>1984</v>
      </c>
    </row>
    <row r="43" spans="1:123" ht="13.5" customHeight="1">
      <c r="A43" s="92" t="s">
        <v>1924</v>
      </c>
      <c r="B43" s="93" t="s">
        <v>1953</v>
      </c>
      <c r="C43" s="104">
        <f ca="1">ROUND(IF('数据-取费表'!B24&lt;=1,C39*F22*'数据-取费表'!B23/2,C39*(POWER((1+F22),'数据-取费表'!B23/2)-1)),0)</f>
        <v>66</v>
      </c>
      <c r="D43" s="104"/>
      <c r="E43" s="104"/>
      <c r="F43" s="105"/>
      <c r="G43" s="3662"/>
    </row>
    <row r="44" spans="1:123" ht="13.5" customHeight="1">
      <c r="A44" s="92" t="s">
        <v>1926</v>
      </c>
      <c r="B44" s="93" t="s">
        <v>1955</v>
      </c>
      <c r="C44" s="104">
        <f ca="1">ROUND(IF('数据-取费表'!B24&lt;=1,C40*F22*'数据-取费表'!B23/2,C40*(POWER((1+F22),'数据-取费表'!B23/2)-1)),4)</f>
        <v>4.0000000000000002E-4</v>
      </c>
      <c r="D44" s="104"/>
      <c r="E44" s="104"/>
      <c r="F44" s="105"/>
      <c r="G44" s="3663"/>
    </row>
    <row r="45" spans="1:123" s="91" customFormat="1" ht="13.5" customHeight="1">
      <c r="A45" s="120" t="s">
        <v>1948</v>
      </c>
      <c r="B45" s="110" t="s">
        <v>1960</v>
      </c>
      <c r="C45" s="111">
        <f>C46</f>
        <v>12249</v>
      </c>
      <c r="D45" s="101">
        <f>C47</f>
        <v>1.1999999999999999E-3</v>
      </c>
      <c r="E45" s="102" t="s">
        <v>1982</v>
      </c>
      <c r="F45" s="2887">
        <f>F27</f>
        <v>0.08</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12249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1.1999999999999999E-3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5.5E-2</v>
      </c>
      <c r="D48" s="102" t="s">
        <v>1982</v>
      </c>
      <c r="E48" s="99"/>
      <c r="F48" s="2886">
        <f>F30</f>
        <v>5.5000000000000007E-2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182902</v>
      </c>
      <c r="D49" s="99"/>
      <c r="E49" s="99"/>
      <c r="F49" s="126"/>
      <c r="G49" s="100" t="s">
        <v>1992</v>
      </c>
    </row>
    <row r="50" spans="1:123" s="122" customFormat="1" ht="24">
      <c r="A50" s="994" t="s">
        <v>1993</v>
      </c>
      <c r="B50" s="89" t="s">
        <v>1994</v>
      </c>
      <c r="C50" s="99"/>
      <c r="D50" s="99"/>
      <c r="E50" s="99"/>
      <c r="F50" s="126">
        <f>IF('数据-取费表'!B26=0,'数据-取费表'!E20,1)</f>
        <v>0.79</v>
      </c>
      <c r="G50" s="113" t="s">
        <v>1995</v>
      </c>
    </row>
    <row r="51" spans="1:123" ht="16.5" customHeight="1">
      <c r="A51" s="994" t="s">
        <v>1996</v>
      </c>
      <c r="B51" s="89" t="s">
        <v>1997</v>
      </c>
      <c r="C51" s="99">
        <f ca="1">ROUND(C49*F50,0)</f>
        <v>144493</v>
      </c>
      <c r="D51" s="99"/>
      <c r="E51" s="99"/>
      <c r="F51" s="126"/>
      <c r="G51" s="100" t="s">
        <v>1998</v>
      </c>
    </row>
    <row r="52" spans="1:123" s="88" customFormat="1" ht="16.5" thickBot="1">
      <c r="A52" s="127" t="s">
        <v>1999</v>
      </c>
      <c r="B52" s="128"/>
      <c r="C52" s="129">
        <f ca="1">C31+C51</f>
        <v>398883</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2000</v>
      </c>
      <c r="C55" s="133"/>
    </row>
    <row r="56" spans="1:123">
      <c r="B56" s="135" t="s">
        <v>2001</v>
      </c>
      <c r="C56" s="136">
        <f ca="1">ROUND(C51/C52,3)</f>
        <v>0.36199999999999999</v>
      </c>
    </row>
    <row r="57" spans="1:123">
      <c r="B57" s="135" t="s">
        <v>2002</v>
      </c>
      <c r="C57" s="137">
        <f ca="1">1-C56</f>
        <v>0.63800000000000001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10116</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0.20999999999999996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0.03</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-10270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-10270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-154</v>
      </c>
      <c r="D22" s="180"/>
      <c r="E22" s="180"/>
      <c r="F22" s="181">
        <f>'数据-取费表'!E25</f>
        <v>1.4999999999999999E-2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1.4999999999999999E-2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5.8099999999999992E-2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-834</v>
      </c>
      <c r="D28" s="183">
        <f>C29</f>
        <v>8.2400000000000001E-2</v>
      </c>
      <c r="E28" s="189" t="s">
        <v>12</v>
      </c>
      <c r="F28" s="200">
        <f>'数据-取费表'!E28</f>
        <v>0.08</v>
      </c>
      <c r="G28" s="185"/>
      <c r="H28" s="186"/>
      <c r="I28" s="186"/>
      <c r="J28" s="186"/>
      <c r="K28" s="187"/>
    </row>
    <row r="29" spans="1:33" s="204" customFormat="1" ht="13.5" customHeight="1">
      <c r="A29" s="996" t="s">
        <v>1341</v>
      </c>
      <c r="B29" s="202" t="s">
        <v>1342</v>
      </c>
      <c r="C29" s="193">
        <f>ROUND((1+C24)*F28,4)</f>
        <v>8.2400000000000001E-2</v>
      </c>
      <c r="D29" s="193"/>
      <c r="E29" s="194"/>
      <c r="F29" s="203"/>
      <c r="G29" s="147" t="s">
        <v>1343</v>
      </c>
      <c r="H29" s="170"/>
      <c r="I29" s="170"/>
      <c r="J29" s="170"/>
      <c r="K29" s="171"/>
    </row>
    <row r="30" spans="1:33" s="204" customFormat="1" ht="13.5" customHeight="1">
      <c r="A30" s="996" t="s">
        <v>1344</v>
      </c>
      <c r="B30" s="202" t="s">
        <v>1345</v>
      </c>
      <c r="C30" s="205">
        <f>ROUND((C21+C22+C23)*F28,0)</f>
        <v>-834</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10116</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-109523</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-1706</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2700</v>
      </c>
      <c r="E6" s="235" t="s">
        <v>2015</v>
      </c>
      <c r="F6" s="236">
        <f>'数据-取费表'!B30</f>
        <v>0</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64.19</v>
      </c>
      <c r="G7" s="951"/>
      <c r="H7" s="237"/>
      <c r="I7" s="238"/>
      <c r="J7" s="239"/>
      <c r="K7" s="240"/>
      <c r="L7" s="235" t="s">
        <v>2016</v>
      </c>
      <c r="M7" s="236">
        <f>IF('数据-取费表'!B42="",IF(D1="仅计算典型户型",'数据-取费表'!E5,'数据-取费表'!B5),'数据-取费表'!B42)</f>
        <v>64.19</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0.05</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2.2499999999999999E-2</v>
      </c>
      <c r="G11" s="952"/>
      <c r="H11" s="241"/>
      <c r="I11" s="1524" t="s">
        <v>2026</v>
      </c>
      <c r="J11" s="1091"/>
      <c r="K11" s="240"/>
      <c r="L11" s="246" t="s">
        <v>2025</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144493</v>
      </c>
      <c r="D13" s="1094" t="s">
        <v>2030</v>
      </c>
      <c r="E13" s="1094" t="s">
        <v>2031</v>
      </c>
      <c r="F13" s="1095">
        <f>'数据-取费表'!E20</f>
        <v>0.79</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128380</v>
      </c>
      <c r="D14" s="1328" t="s">
        <v>2034</v>
      </c>
      <c r="E14" s="1329"/>
      <c r="F14" s="799"/>
      <c r="G14" s="952"/>
      <c r="H14" s="253" t="s">
        <v>2013</v>
      </c>
      <c r="I14" s="235" t="s">
        <v>2035</v>
      </c>
      <c r="J14" s="13">
        <f ca="1">C29</f>
        <v>182902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3851</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3851</v>
      </c>
      <c r="D16" s="235" t="s">
        <v>2038</v>
      </c>
      <c r="E16" s="235" t="s">
        <v>2039</v>
      </c>
      <c r="F16" s="258">
        <f>IF('数据-取费表'!B10="住宅",'数据-取费表'!E22,0)</f>
        <v>0.03</v>
      </c>
      <c r="G16" s="952"/>
      <c r="H16" s="1092" t="s">
        <v>14</v>
      </c>
      <c r="I16" s="1093" t="s">
        <v>2044</v>
      </c>
      <c r="J16" s="243">
        <f ca="1">ROUND(J17+J22+J23+J24,0)</f>
        <v>2744</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12838</v>
      </c>
      <c r="D17" s="235" t="s">
        <v>2048</v>
      </c>
      <c r="E17" s="235" t="s">
        <v>2049</v>
      </c>
      <c r="F17" s="15">
        <f>'数据-取费表'!E23</f>
        <v>200</v>
      </c>
      <c r="G17" s="952"/>
      <c r="H17" s="253" t="s">
        <v>2050</v>
      </c>
      <c r="I17" s="235" t="s">
        <v>2051</v>
      </c>
      <c r="J17" s="2825">
        <f>ROUND(IF(AND(项目基本情况!B7="自然人",项目基本情况!B6="北京市"),J6*M17/(1+'数据-取费表'!F30),J18+J19+J20),0)</f>
        <v>0</v>
      </c>
      <c r="K17" s="1328" t="s">
        <v>2052</v>
      </c>
      <c r="L17" s="1331" t="s">
        <v>2053</v>
      </c>
      <c r="M17" s="2824">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1926</v>
      </c>
      <c r="D18" s="235" t="s">
        <v>2038</v>
      </c>
      <c r="E18" s="235" t="s">
        <v>2039</v>
      </c>
      <c r="F18" s="258">
        <f>'数据-取费表'!E24</f>
        <v>1.4999999999999999E-2</v>
      </c>
      <c r="G18" s="951"/>
      <c r="H18" s="253" t="s">
        <v>2056</v>
      </c>
      <c r="I18" s="235" t="s">
        <v>2057</v>
      </c>
      <c r="J18" s="13" t="str">
        <f>IF(项目基本情况!B7="自然人","——",ROUND(J6*M18/(1+'数据-取费表'!F30),0))</f>
        <v>——</v>
      </c>
      <c r="K18" s="1331" t="s">
        <v>2727</v>
      </c>
      <c r="L18" s="235" t="s">
        <v>2039</v>
      </c>
      <c r="M18" s="258">
        <f>'数据-取费表'!E29</f>
        <v>5.5000000000000007E-2</v>
      </c>
    </row>
    <row r="19" spans="1:37" s="257" customFormat="1" ht="18" customHeight="1">
      <c r="A19" s="253" t="s">
        <v>2050</v>
      </c>
      <c r="B19" s="235" t="s">
        <v>2058</v>
      </c>
      <c r="C19" s="13">
        <f>SUM(C14:C18)</f>
        <v>150846</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2263</v>
      </c>
      <c r="D20" s="259" t="s">
        <v>2063</v>
      </c>
      <c r="E20" s="235" t="s">
        <v>2064</v>
      </c>
      <c r="F20" s="258">
        <f>'数据-取费表'!E25</f>
        <v>1.4999999999999999E-2</v>
      </c>
      <c r="G20" s="952"/>
      <c r="H20" s="253" t="s">
        <v>2042</v>
      </c>
      <c r="I20" s="36" t="s">
        <v>2065</v>
      </c>
      <c r="J20" s="14" t="str">
        <f>IF(项目基本情况!B7="自然人","——",ROUND(M20*M21,0))</f>
        <v>——</v>
      </c>
      <c r="K20" s="261" t="s">
        <v>2066</v>
      </c>
      <c r="L20" s="235" t="s">
        <v>2067</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1.4999999999999999E-2</v>
      </c>
      <c r="D21" s="259" t="s">
        <v>2070</v>
      </c>
      <c r="E21" s="235" t="s">
        <v>2071</v>
      </c>
      <c r="F21" s="258">
        <f>'数据-取费表'!E26</f>
        <v>1.4999999999999999E-2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单利计息。建造成本、管理费用、销售费用产生的利息。</v>
      </c>
      <c r="E22" s="1333"/>
      <c r="F22" s="15"/>
      <c r="G22" s="951"/>
      <c r="H22" s="253" t="s">
        <v>2040</v>
      </c>
      <c r="I22" s="235" t="s">
        <v>2075</v>
      </c>
      <c r="J22" s="13">
        <f ca="1">ROUND(J14*M22,0)</f>
        <v>2744</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4448</v>
      </c>
      <c r="D23" s="1432" t="str">
        <f>IF(F23&lt;=1,"(建造成本+管理费用)×利率×(建设周期÷2)","(建造成本+管理费用)×((1+利率)^(建设周期÷2)-1)")</f>
        <v>(建造成本+管理费用)×利率×(建设周期÷2)</v>
      </c>
      <c r="E23" s="235" t="s">
        <v>2078</v>
      </c>
      <c r="F23" s="262">
        <f>'数据-取费表'!B22</f>
        <v>1</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4.0000000000000002E-4</v>
      </c>
      <c r="D24" s="1432" t="str">
        <f>IF(F23&lt;=1,"销售费用×利率×(建设周期÷2)","销售费用×((1+利率)^(建设周期÷2)-1)")</f>
        <v>销售费用×利率×(建设周期÷2)</v>
      </c>
      <c r="E24" s="235" t="s">
        <v>2084</v>
      </c>
      <c r="F24" s="267">
        <f ca="1">'数据-取费表'!E27</f>
        <v>5.8099999999999992E-2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-2744</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12249</v>
      </c>
      <c r="D26" s="259" t="s">
        <v>2092</v>
      </c>
      <c r="E26" s="246" t="s">
        <v>2093</v>
      </c>
      <c r="F26" s="245">
        <f>'数据-取费表'!E28</f>
        <v>0.08</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1.1999999999999999E-3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5.5E-2</v>
      </c>
      <c r="D28" s="259" t="s">
        <v>2104</v>
      </c>
      <c r="E28" s="235" t="s">
        <v>2064</v>
      </c>
      <c r="F28" s="258">
        <f>'数据-取费表'!E29</f>
        <v>5.5000000000000007E-2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182902</v>
      </c>
      <c r="D29" s="1105"/>
      <c r="E29" s="1103"/>
      <c r="F29" s="1106"/>
      <c r="G29" s="652"/>
      <c r="H29" s="271" t="s">
        <v>24</v>
      </c>
      <c r="I29" s="272" t="s">
        <v>2108</v>
      </c>
      <c r="J29" s="273">
        <f ca="1">ROUND(J26/(1+F40)^F41,0)</f>
        <v>0</v>
      </c>
      <c r="K29" s="274" t="s">
        <v>2109</v>
      </c>
      <c r="L29" s="275"/>
      <c r="M29" s="276">
        <f>IF(D1="仅计算典型户型",'数据-取费表'!E5,'数据-取费表'!B5)</f>
        <v>64.19</v>
      </c>
    </row>
    <row r="30" spans="1:37" ht="18" customHeight="1" thickTop="1">
      <c r="A30" s="1092" t="s">
        <v>14</v>
      </c>
      <c r="B30" s="1093" t="s">
        <v>2110</v>
      </c>
      <c r="C30" s="243">
        <f ca="1">ROUND(C31+C36+C37+C38,0)</f>
        <v>2961</v>
      </c>
      <c r="D30" s="1099" t="s">
        <v>2111</v>
      </c>
      <c r="E30" s="1100"/>
      <c r="F30" s="1101"/>
      <c r="G30" s="652"/>
      <c r="H30" s="931"/>
      <c r="I30" s="932"/>
      <c r="J30" s="933"/>
      <c r="K30" s="934"/>
      <c r="L30" s="935"/>
      <c r="M30" s="936"/>
    </row>
    <row r="31" spans="1:37" ht="18" customHeight="1">
      <c r="A31" s="253" t="s">
        <v>2013</v>
      </c>
      <c r="B31" s="235" t="s">
        <v>2051</v>
      </c>
      <c r="C31" s="2825">
        <f>ROUND(IF(AND(项目基本情况!B7="自然人",项目基本情况!B6="北京市"),C6*F31/(1+'数据-取费表'!F30),C32+C33+C34),0)</f>
        <v>0</v>
      </c>
      <c r="D31" s="1328" t="s">
        <v>2112</v>
      </c>
      <c r="E31" s="1331" t="s">
        <v>2113</v>
      </c>
      <c r="F31" s="2824">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2726</v>
      </c>
      <c r="E32" s="235" t="s">
        <v>2064</v>
      </c>
      <c r="F32" s="267">
        <f>'数据-取费表'!E29</f>
        <v>5.5000000000000007E-2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1.5</v>
      </c>
      <c r="G34" s="652"/>
      <c r="H34" s="931"/>
      <c r="I34" s="280" t="s">
        <v>2117</v>
      </c>
      <c r="J34" s="281">
        <f ca="1">ROUND(C13*J35,0)</f>
        <v>9392</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6.5000000000000002E-2</v>
      </c>
      <c r="K35" s="944"/>
      <c r="L35" s="943"/>
      <c r="M35" s="943"/>
    </row>
    <row r="36" spans="1:18" ht="18" customHeight="1">
      <c r="A36" s="1060" t="s">
        <v>2020</v>
      </c>
      <c r="B36" s="235" t="s">
        <v>2119</v>
      </c>
      <c r="C36" s="13">
        <f ca="1">ROUND(C29*F36,0)</f>
        <v>2744</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217</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0.01</v>
      </c>
      <c r="G38" s="652"/>
      <c r="H38" s="943"/>
      <c r="I38" s="280" t="s">
        <v>2123</v>
      </c>
      <c r="J38" s="136">
        <f ca="1">ROUND(J34/C39,3)</f>
        <v>-3.1720000000000002</v>
      </c>
      <c r="K38" s="948"/>
      <c r="L38" s="943"/>
      <c r="M38" s="943"/>
    </row>
    <row r="39" spans="1:18" ht="18" customHeight="1" thickTop="1">
      <c r="A39" s="1092" t="s">
        <v>22</v>
      </c>
      <c r="B39" s="1107" t="s">
        <v>2124</v>
      </c>
      <c r="C39" s="243">
        <f ca="1">C5-C30</f>
        <v>-2961</v>
      </c>
      <c r="D39" s="1108" t="s">
        <v>2125</v>
      </c>
      <c r="E39" s="1109"/>
      <c r="F39" s="1110"/>
      <c r="G39" s="652"/>
      <c r="H39" s="943"/>
      <c r="I39" s="280" t="s">
        <v>2126</v>
      </c>
      <c r="J39" s="136">
        <f ca="1">1-J38</f>
        <v>4.1720000000000006</v>
      </c>
      <c r="K39" s="948"/>
      <c r="L39" s="943"/>
      <c r="M39" s="943"/>
    </row>
    <row r="40" spans="1:18" s="652" customFormat="1" ht="18" customHeight="1">
      <c r="A40" s="232" t="s">
        <v>23</v>
      </c>
      <c r="B40" s="233" t="s">
        <v>2127</v>
      </c>
      <c r="C40" s="234">
        <f ca="1">ROUND(C39*(1-((1+F42)/(1+F40))^F41)/(F40-F42),0)</f>
        <v>-109523</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70</v>
      </c>
      <c r="H41" s="950"/>
      <c r="I41" s="135" t="s">
        <v>2001</v>
      </c>
      <c r="J41" s="136">
        <f ca="1">ROUND(C13/C40,3)</f>
        <v>-1.319</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2.319</v>
      </c>
      <c r="K42" s="947"/>
      <c r="L42" s="950"/>
      <c r="M42" s="950"/>
      <c r="Q42" s="656"/>
    </row>
    <row r="43" spans="1:18" s="652" customFormat="1" ht="18" customHeight="1" thickBot="1">
      <c r="A43" s="271" t="s">
        <v>24</v>
      </c>
      <c r="B43" s="272" t="s">
        <v>2130</v>
      </c>
      <c r="C43" s="273">
        <f ca="1">ROUND(C40/F43,0)</f>
        <v>-1706</v>
      </c>
      <c r="D43" s="274" t="s">
        <v>2131</v>
      </c>
      <c r="E43" s="275" t="s">
        <v>2132</v>
      </c>
      <c r="F43" s="276">
        <f>IF(D1="仅计算典型户型",'数据-取费表'!E5,'数据-取费表'!B5)</f>
        <v>64.19</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-109523</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52249</v>
      </c>
      <c r="D47" s="1528" t="str">
        <f>C2</f>
        <v>元</v>
      </c>
      <c r="E47" s="649"/>
      <c r="F47" s="649"/>
      <c r="I47" s="1529" t="s">
        <v>2143</v>
      </c>
      <c r="J47" s="1023"/>
      <c r="K47" s="1024"/>
      <c r="L47" s="1037">
        <f>IF(M48="住宅",0,IF(L49&gt;J52,L61,J61))</f>
        <v>0</v>
      </c>
      <c r="O47" s="1051" t="s">
        <v>951</v>
      </c>
      <c r="P47" s="1048" t="s">
        <v>2144</v>
      </c>
      <c r="Q47" s="1049">
        <f ca="1">C29</f>
        <v>182902</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70</v>
      </c>
      <c r="O49" s="1051" t="s">
        <v>953</v>
      </c>
      <c r="P49" s="1048" t="s">
        <v>2156</v>
      </c>
      <c r="Q49" s="1052">
        <f>J53</f>
        <v>0</v>
      </c>
      <c r="R49" s="1050"/>
    </row>
    <row r="50" spans="1:18" s="652" customFormat="1" ht="15.75" thickBot="1">
      <c r="A50" s="260" t="s">
        <v>2013</v>
      </c>
      <c r="B50" s="1442" t="s">
        <v>2157</v>
      </c>
      <c r="C50" s="234">
        <f>ROUND(F50*F52*F51*(1-F53),0)</f>
        <v>0</v>
      </c>
      <c r="D50" s="42" t="s">
        <v>2701</v>
      </c>
      <c r="E50" s="1536" t="s">
        <v>2158</v>
      </c>
      <c r="F50" s="988"/>
      <c r="I50" s="1533" t="s">
        <v>2159</v>
      </c>
      <c r="J50" s="863">
        <f>'数据-取费表'!B27</f>
        <v>1987</v>
      </c>
      <c r="K50" s="1537" t="s">
        <v>2160</v>
      </c>
      <c r="L50" s="1026"/>
      <c r="O50" s="1051" t="s">
        <v>954</v>
      </c>
      <c r="P50" s="1048" t="s">
        <v>2161</v>
      </c>
      <c r="Q50" s="1049">
        <f>J54</f>
        <v>70</v>
      </c>
      <c r="R50" s="1050" t="s">
        <v>2162</v>
      </c>
    </row>
    <row r="51" spans="1:18" s="652" customFormat="1" ht="15.75" thickBot="1">
      <c r="A51" s="237"/>
      <c r="B51" s="238"/>
      <c r="C51" s="239"/>
      <c r="D51" s="240"/>
      <c r="E51" s="255" t="s">
        <v>2016</v>
      </c>
      <c r="F51" s="985">
        <f>F7</f>
        <v>64.19</v>
      </c>
      <c r="I51" s="1533" t="s">
        <v>2163</v>
      </c>
      <c r="J51" s="1027">
        <f>SUMPRODUCT((I64:I66=J48)*(J63:L63=J49)*(J64:L66))</f>
        <v>0</v>
      </c>
      <c r="K51" s="1537" t="s">
        <v>2164</v>
      </c>
      <c r="L51" s="1026"/>
      <c r="O51" s="1047" t="s">
        <v>955</v>
      </c>
      <c r="P51" s="1048" t="str">
        <f>IF(C2="元","收益价值(元)","收益价值(万元)")</f>
        <v>收益价值(元)</v>
      </c>
      <c r="Q51" s="1049">
        <f ca="1">ROUND(IF(C2="元",Q45+Q46,(Q45+Q46)/10000),0)</f>
        <v>-109523</v>
      </c>
      <c r="R51" s="1050" t="s">
        <v>956</v>
      </c>
    </row>
    <row r="52" spans="1:18" s="652" customFormat="1" ht="16.5" thickBot="1">
      <c r="A52" s="237"/>
      <c r="B52" s="238"/>
      <c r="C52" s="239"/>
      <c r="D52" s="240"/>
      <c r="E52" s="235" t="s">
        <v>2018</v>
      </c>
      <c r="F52" s="236">
        <f>F8</f>
        <v>0</v>
      </c>
      <c r="I52" s="1538" t="s">
        <v>2165</v>
      </c>
      <c r="J52" s="1028">
        <f>IF(J50="",J51,J50+J51-YEAR('数据-取费表'!B2))</f>
        <v>-22</v>
      </c>
      <c r="K52" s="1539" t="s">
        <v>2166</v>
      </c>
      <c r="L52" s="1029">
        <f ca="1">ROUND(-PV('数据-取费表'!B15,J52,(C40-C13*J35)),0)</f>
        <v>4072599</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70</v>
      </c>
      <c r="K54" s="3664" t="s">
        <v>2699</v>
      </c>
      <c r="L54" s="3665"/>
      <c r="O54" s="1047" t="s">
        <v>949</v>
      </c>
      <c r="P54" s="1048" t="s">
        <v>2138</v>
      </c>
      <c r="Q54" s="1049">
        <f ca="1">C40+J29</f>
        <v>-109523</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144493</v>
      </c>
      <c r="D57" s="983"/>
      <c r="E57" s="984"/>
      <c r="F57" s="991"/>
      <c r="I57" s="1547" t="s">
        <v>2175</v>
      </c>
      <c r="J57" s="1035"/>
      <c r="K57" s="1533" t="s">
        <v>2176</v>
      </c>
      <c r="L57" s="863">
        <f>IF(L49&lt;J52,"——",L49-J52)</f>
        <v>92</v>
      </c>
      <c r="O57" s="1051" t="s">
        <v>952</v>
      </c>
      <c r="P57" s="1048" t="s">
        <v>2177</v>
      </c>
      <c r="Q57" s="1052">
        <f>L53</f>
        <v>0</v>
      </c>
      <c r="R57" s="1050"/>
    </row>
    <row r="58" spans="1:18" s="652" customFormat="1" ht="29.25" thickBot="1">
      <c r="A58" s="990"/>
      <c r="B58" s="235" t="s">
        <v>2107</v>
      </c>
      <c r="C58" s="104">
        <f ca="1">C29</f>
        <v>182902</v>
      </c>
      <c r="D58" s="983"/>
      <c r="E58" s="984"/>
      <c r="F58" s="991"/>
      <c r="I58" s="1548" t="s">
        <v>2178</v>
      </c>
      <c r="J58" s="1034" t="str">
        <f>IF(OR(M48="住宅",J52&lt;L49,J57="是"),"——",J52-L49)</f>
        <v>——</v>
      </c>
      <c r="K58" s="1533" t="s">
        <v>2179</v>
      </c>
      <c r="L58" s="863">
        <f ca="1">IF(L49&lt;J52,"——",IF(L56="比较法",L50,IF(L56="基准地价",L51,L52)))</f>
        <v>4072599</v>
      </c>
      <c r="O58" s="1051" t="s">
        <v>953</v>
      </c>
      <c r="P58" s="1048" t="s">
        <v>2180</v>
      </c>
      <c r="Q58" s="1049" t="e">
        <f>L59</f>
        <v>#DIV/0!</v>
      </c>
      <c r="R58" s="1050" t="s">
        <v>2181</v>
      </c>
    </row>
    <row r="59" spans="1:18" s="652" customFormat="1" ht="29.25" thickBot="1">
      <c r="A59" s="248" t="s">
        <v>14</v>
      </c>
      <c r="B59" s="249" t="s">
        <v>2110</v>
      </c>
      <c r="C59" s="250">
        <f ca="1">ROUND(C60+C65+C66+C67,0)</f>
        <v>2961</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5">
        <f>ROUND(IF(AND(项目基本情况!B7="自然人",项目基本情况!B6="北京市"),C50*F60/(1+'数据-取费表'!F30),C61+C62+C63),0)</f>
        <v>0</v>
      </c>
      <c r="D60" s="1328" t="s">
        <v>2112</v>
      </c>
      <c r="E60" s="1331" t="s">
        <v>2113</v>
      </c>
      <c r="F60" s="2824">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-109523</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5.5000000000000007E-2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1.5</v>
      </c>
      <c r="I63" s="1551" t="s">
        <v>2193</v>
      </c>
      <c r="J63" s="1323" t="s">
        <v>2194</v>
      </c>
      <c r="K63" s="1323" t="s">
        <v>2195</v>
      </c>
      <c r="L63" s="1323" t="s">
        <v>2196</v>
      </c>
      <c r="M63" s="1322" t="s">
        <v>2197</v>
      </c>
      <c r="O63" s="1047" t="s">
        <v>949</v>
      </c>
      <c r="P63" s="1048" t="s">
        <v>2138</v>
      </c>
      <c r="Q63" s="1049">
        <f ca="1">C40+J29</f>
        <v>-109523</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2744</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4072599</v>
      </c>
      <c r="R65" s="1054" t="s">
        <v>2201</v>
      </c>
    </row>
    <row r="66" spans="1:18" s="652" customFormat="1" ht="20.25" thickBot="1">
      <c r="A66" s="253" t="s">
        <v>20</v>
      </c>
      <c r="B66" s="235" t="s">
        <v>2079</v>
      </c>
      <c r="C66" s="13">
        <f ca="1">ROUND(C57*F66,0)</f>
        <v>217</v>
      </c>
      <c r="D66" s="1331" t="s">
        <v>2080</v>
      </c>
      <c r="E66" s="235" t="s">
        <v>2081</v>
      </c>
      <c r="F66" s="266">
        <f t="shared" si="0"/>
        <v>1.5E-3</v>
      </c>
      <c r="I66" s="1551" t="s">
        <v>2202</v>
      </c>
      <c r="J66" s="1323">
        <v>40</v>
      </c>
      <c r="K66" s="1323">
        <v>30</v>
      </c>
      <c r="L66" s="1323">
        <v>50</v>
      </c>
      <c r="M66" s="1321">
        <v>0.02</v>
      </c>
      <c r="O66" s="1051" t="s">
        <v>952</v>
      </c>
      <c r="P66" s="1055" t="s">
        <v>2203</v>
      </c>
      <c r="Q66" s="1049">
        <f ca="1">ROUND(Q67-Q68*Q69,0)</f>
        <v>-12353</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-2961</v>
      </c>
      <c r="R67" s="1050" t="s">
        <v>2139</v>
      </c>
    </row>
    <row r="68" spans="1:18" ht="15.75" thickBot="1">
      <c r="A68" s="248" t="s">
        <v>22</v>
      </c>
      <c r="B68" s="41" t="s">
        <v>2089</v>
      </c>
      <c r="C68" s="250">
        <f ca="1">C49-C59</f>
        <v>-2961</v>
      </c>
      <c r="D68" s="1328" t="s">
        <v>2090</v>
      </c>
      <c r="E68" s="1330"/>
      <c r="F68" s="268"/>
      <c r="H68" s="652"/>
      <c r="I68" s="652"/>
      <c r="J68" s="652"/>
      <c r="K68" s="652"/>
      <c r="L68" s="652"/>
      <c r="M68" s="652"/>
      <c r="O68" s="1051" t="s">
        <v>958</v>
      </c>
      <c r="P68" s="1055" t="s">
        <v>2205</v>
      </c>
      <c r="Q68" s="1049">
        <f ca="1">C13</f>
        <v>144493</v>
      </c>
      <c r="R68" s="1050" t="s">
        <v>2139</v>
      </c>
    </row>
    <row r="69" spans="1:18" ht="15.75" thickBot="1">
      <c r="A69" s="232" t="s">
        <v>23</v>
      </c>
      <c r="B69" s="233" t="s">
        <v>2127</v>
      </c>
      <c r="C69" s="234">
        <f ca="1">ROUND(C68*(1-((1+F71)/(1+F69))^F70)/(F69-F71),0)</f>
        <v>-57274</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70</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-892</v>
      </c>
      <c r="D72" s="274" t="s">
        <v>2131</v>
      </c>
      <c r="E72" s="275" t="s">
        <v>2132</v>
      </c>
      <c r="F72" s="276">
        <f>F43</f>
        <v>64.19</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-109523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682" t="s">
        <v>1013</v>
      </c>
      <c r="B1" s="3683"/>
      <c r="C1" s="3684"/>
      <c r="D1" s="3685">
        <f>SUM(I10,I15,I20,I21,I23)</f>
        <v>0</v>
      </c>
      <c r="E1" s="3685"/>
      <c r="F1" s="3685"/>
      <c r="G1" s="3685"/>
      <c r="H1" s="3685"/>
      <c r="I1" s="3686"/>
    </row>
    <row r="2" spans="1:9">
      <c r="A2" s="3672" t="s">
        <v>1014</v>
      </c>
      <c r="B2" s="3673" t="s">
        <v>963</v>
      </c>
      <c r="C2" s="3673"/>
      <c r="D2" s="1062" t="s">
        <v>964</v>
      </c>
      <c r="E2" s="1062" t="s">
        <v>965</v>
      </c>
      <c r="F2" s="1062" t="s">
        <v>966</v>
      </c>
      <c r="G2" s="1062" t="s">
        <v>967</v>
      </c>
      <c r="H2" s="1062" t="s">
        <v>968</v>
      </c>
      <c r="I2" s="1063" t="s">
        <v>969</v>
      </c>
    </row>
    <row r="3" spans="1:9">
      <c r="A3" s="3672"/>
      <c r="B3" s="3673" t="s">
        <v>970</v>
      </c>
      <c r="C3" s="3673"/>
      <c r="D3" s="1064"/>
      <c r="E3" s="1062"/>
      <c r="F3" s="1065"/>
      <c r="G3" s="1065"/>
      <c r="H3" s="1066"/>
      <c r="I3" s="1067">
        <f>ROUND(D3*E3*F3*G3*H3/10000,0)</f>
        <v>0</v>
      </c>
    </row>
    <row r="4" spans="1:9">
      <c r="A4" s="3672"/>
      <c r="B4" s="3673" t="s">
        <v>971</v>
      </c>
      <c r="C4" s="3673"/>
      <c r="D4" s="1064"/>
      <c r="E4" s="1062"/>
      <c r="F4" s="1065"/>
      <c r="G4" s="1065"/>
      <c r="H4" s="1066"/>
      <c r="I4" s="1067">
        <f t="shared" ref="I4:I9" si="0">ROUND(D4*E4*F4*G4*H4/10000,0)</f>
        <v>0</v>
      </c>
    </row>
    <row r="5" spans="1:9">
      <c r="A5" s="3672"/>
      <c r="B5" s="3673" t="s">
        <v>972</v>
      </c>
      <c r="C5" s="3673"/>
      <c r="D5" s="1064"/>
      <c r="E5" s="1062"/>
      <c r="F5" s="1065"/>
      <c r="G5" s="1065"/>
      <c r="H5" s="1066"/>
      <c r="I5" s="1067">
        <f t="shared" si="0"/>
        <v>0</v>
      </c>
    </row>
    <row r="6" spans="1:9">
      <c r="A6" s="3672"/>
      <c r="B6" s="3673" t="s">
        <v>973</v>
      </c>
      <c r="C6" s="3673"/>
      <c r="D6" s="1064"/>
      <c r="E6" s="1062"/>
      <c r="F6" s="1065"/>
      <c r="G6" s="1065"/>
      <c r="H6" s="1066"/>
      <c r="I6" s="1067">
        <f t="shared" si="0"/>
        <v>0</v>
      </c>
    </row>
    <row r="7" spans="1:9">
      <c r="A7" s="3672"/>
      <c r="B7" s="3673" t="s">
        <v>974</v>
      </c>
      <c r="C7" s="3673"/>
      <c r="D7" s="1064"/>
      <c r="E7" s="1062"/>
      <c r="F7" s="1065"/>
      <c r="G7" s="1065"/>
      <c r="H7" s="1066"/>
      <c r="I7" s="1067">
        <f t="shared" si="0"/>
        <v>0</v>
      </c>
    </row>
    <row r="8" spans="1:9">
      <c r="A8" s="3672"/>
      <c r="B8" s="3673" t="s">
        <v>975</v>
      </c>
      <c r="C8" s="3673"/>
      <c r="D8" s="1064"/>
      <c r="E8" s="1062"/>
      <c r="F8" s="1065"/>
      <c r="G8" s="1065"/>
      <c r="H8" s="1066"/>
      <c r="I8" s="1067">
        <f t="shared" si="0"/>
        <v>0</v>
      </c>
    </row>
    <row r="9" spans="1:9">
      <c r="A9" s="3672"/>
      <c r="B9" s="3673" t="s">
        <v>976</v>
      </c>
      <c r="C9" s="3673"/>
      <c r="D9" s="1064"/>
      <c r="E9" s="1062"/>
      <c r="F9" s="1065"/>
      <c r="G9" s="1065"/>
      <c r="H9" s="1066"/>
      <c r="I9" s="1067">
        <f t="shared" si="0"/>
        <v>0</v>
      </c>
    </row>
    <row r="10" spans="1:9">
      <c r="A10" s="3672"/>
      <c r="B10" s="3674" t="s">
        <v>977</v>
      </c>
      <c r="C10" s="3674"/>
      <c r="D10" s="1068">
        <v>527</v>
      </c>
      <c r="E10" s="1068" t="e">
        <f>ROUND(D1*10000/D10/H9,0)</f>
        <v>#DIV/0!</v>
      </c>
      <c r="F10" s="1069"/>
      <c r="G10" s="1069"/>
      <c r="H10" s="1070"/>
      <c r="I10" s="1071">
        <f>SUM(I3:I9)</f>
        <v>0</v>
      </c>
    </row>
    <row r="11" spans="1:9" ht="14.25">
      <c r="A11" s="3672" t="s">
        <v>1015</v>
      </c>
      <c r="B11" s="3673" t="s">
        <v>978</v>
      </c>
      <c r="C11" s="3673"/>
      <c r="D11" s="1064" t="s">
        <v>979</v>
      </c>
      <c r="E11" s="1064" t="s">
        <v>980</v>
      </c>
      <c r="F11" s="1065" t="s">
        <v>981</v>
      </c>
      <c r="G11" s="1065" t="s">
        <v>968</v>
      </c>
      <c r="H11" s="1072" t="s">
        <v>982</v>
      </c>
      <c r="I11" s="1063" t="s">
        <v>969</v>
      </c>
    </row>
    <row r="12" spans="1:9">
      <c r="A12" s="3672"/>
      <c r="B12" s="3673" t="s">
        <v>983</v>
      </c>
      <c r="C12" s="3673"/>
      <c r="D12" s="1064"/>
      <c r="E12" s="1064"/>
      <c r="F12" s="1065"/>
      <c r="G12" s="1066"/>
      <c r="H12" s="1073"/>
      <c r="I12" s="1063">
        <f>ROUND(D12*E12*F12*G12/10000,0)</f>
        <v>0</v>
      </c>
    </row>
    <row r="13" spans="1:9">
      <c r="A13" s="3672"/>
      <c r="B13" s="3673" t="s">
        <v>984</v>
      </c>
      <c r="C13" s="3673"/>
      <c r="D13" s="1064"/>
      <c r="E13" s="1064"/>
      <c r="F13" s="1065"/>
      <c r="G13" s="1066"/>
      <c r="H13" s="1073"/>
      <c r="I13" s="1063">
        <f>ROUND(D13*E13*F13*G13/10000,0)</f>
        <v>0</v>
      </c>
    </row>
    <row r="14" spans="1:9">
      <c r="A14" s="3672"/>
      <c r="B14" s="3673" t="s">
        <v>985</v>
      </c>
      <c r="C14" s="3673"/>
      <c r="D14" s="1064"/>
      <c r="E14" s="1064"/>
      <c r="F14" s="1065"/>
      <c r="G14" s="1066"/>
      <c r="H14" s="1073"/>
      <c r="I14" s="1063">
        <f>ROUND(D14*E14*F14*G14/10000,0)</f>
        <v>0</v>
      </c>
    </row>
    <row r="15" spans="1:9">
      <c r="A15" s="3672"/>
      <c r="B15" s="3674" t="s">
        <v>977</v>
      </c>
      <c r="C15" s="3674"/>
      <c r="D15" s="1068"/>
      <c r="E15" s="1068">
        <f>SUM(E12:E14)</f>
        <v>0</v>
      </c>
      <c r="F15" s="1069"/>
      <c r="G15" s="1066"/>
      <c r="H15" s="1073"/>
      <c r="I15" s="1074">
        <f>SUM(I12:I14)</f>
        <v>0</v>
      </c>
    </row>
    <row r="16" spans="1:9" ht="24">
      <c r="A16" s="3672" t="s">
        <v>1016</v>
      </c>
      <c r="B16" s="3673" t="s">
        <v>986</v>
      </c>
      <c r="C16" s="3673"/>
      <c r="D16" s="1064" t="s">
        <v>964</v>
      </c>
      <c r="E16" s="1075" t="s">
        <v>987</v>
      </c>
      <c r="F16" s="1065" t="s">
        <v>988</v>
      </c>
      <c r="G16" s="1066" t="s">
        <v>968</v>
      </c>
      <c r="H16" s="1072" t="s">
        <v>982</v>
      </c>
      <c r="I16" s="1063" t="s">
        <v>969</v>
      </c>
    </row>
    <row r="17" spans="1:9" ht="14.25">
      <c r="A17" s="3672"/>
      <c r="B17" s="3673" t="s">
        <v>989</v>
      </c>
      <c r="C17" s="3673"/>
      <c r="D17" s="1064"/>
      <c r="E17" s="1064"/>
      <c r="F17" s="1065"/>
      <c r="G17" s="1066"/>
      <c r="H17" s="1076"/>
      <c r="I17" s="1077">
        <f>ROUND(D17*E17*F17*G17/10000,0)</f>
        <v>0</v>
      </c>
    </row>
    <row r="18" spans="1:9" ht="14.25">
      <c r="A18" s="3672"/>
      <c r="B18" s="3673" t="s">
        <v>990</v>
      </c>
      <c r="C18" s="3673"/>
      <c r="D18" s="1064"/>
      <c r="E18" s="1064"/>
      <c r="F18" s="1065"/>
      <c r="G18" s="1066"/>
      <c r="H18" s="1076"/>
      <c r="I18" s="1077">
        <f>ROUND(D18*E18*F18*G18/10000,0)</f>
        <v>0</v>
      </c>
    </row>
    <row r="19" spans="1:9" ht="14.25">
      <c r="A19" s="3672"/>
      <c r="B19" s="3673" t="s">
        <v>991</v>
      </c>
      <c r="C19" s="3673"/>
      <c r="D19" s="1064"/>
      <c r="E19" s="1064"/>
      <c r="F19" s="1065"/>
      <c r="G19" s="1066"/>
      <c r="H19" s="1076"/>
      <c r="I19" s="1077">
        <f>ROUND(D19*E19*F19*G19/10000,0)</f>
        <v>0</v>
      </c>
    </row>
    <row r="20" spans="1:9">
      <c r="A20" s="3672"/>
      <c r="B20" s="3674" t="s">
        <v>977</v>
      </c>
      <c r="C20" s="3674"/>
      <c r="D20" s="1068">
        <f>SUM(D17:D19)</f>
        <v>0</v>
      </c>
      <c r="E20" s="1068"/>
      <c r="F20" s="1069"/>
      <c r="G20" s="1066"/>
      <c r="H20" s="1073"/>
      <c r="I20" s="1074">
        <f>SUM(I17:I19)</f>
        <v>0</v>
      </c>
    </row>
    <row r="21" spans="1:9">
      <c r="A21" s="3672" t="s">
        <v>1017</v>
      </c>
      <c r="B21" s="3675"/>
      <c r="C21" s="3675"/>
      <c r="D21" s="3675"/>
      <c r="E21" s="3675"/>
      <c r="F21" s="3675"/>
      <c r="G21" s="3675"/>
      <c r="H21" s="1078">
        <v>0.1</v>
      </c>
      <c r="I21" s="1071">
        <f>ROUND(I10*H21,0)</f>
        <v>0</v>
      </c>
    </row>
    <row r="22" spans="1:9" ht="14.25">
      <c r="A22" s="3676" t="s">
        <v>1018</v>
      </c>
      <c r="B22" s="3677"/>
      <c r="C22" s="3678"/>
      <c r="D22" s="1079" t="s">
        <v>992</v>
      </c>
      <c r="E22" s="1079" t="s">
        <v>993</v>
      </c>
      <c r="F22" s="1080" t="s">
        <v>968</v>
      </c>
      <c r="G22" s="1080" t="s">
        <v>994</v>
      </c>
      <c r="H22" s="1072" t="s">
        <v>982</v>
      </c>
      <c r="I22" s="1063" t="s">
        <v>969</v>
      </c>
    </row>
    <row r="23" spans="1:9" ht="14.25" thickBot="1">
      <c r="A23" s="3679"/>
      <c r="B23" s="3680"/>
      <c r="C23" s="3681"/>
      <c r="D23" s="1081"/>
      <c r="E23" s="1081"/>
      <c r="F23" s="1081"/>
      <c r="G23" s="1082"/>
      <c r="H23" s="1083"/>
      <c r="I23" s="1084">
        <f>ROUND(E23*D23*F23*(1-G23)/10000,0)</f>
        <v>0</v>
      </c>
    </row>
    <row r="26" spans="1:9">
      <c r="A26" s="1085" t="s">
        <v>995</v>
      </c>
      <c r="B26" s="1085"/>
      <c r="C26" s="1085"/>
      <c r="D26" s="1085"/>
      <c r="E26" s="3669">
        <f>C27-C30-C31-C32</f>
        <v>0</v>
      </c>
      <c r="F26" s="3669"/>
      <c r="G26" s="3669"/>
      <c r="H26" s="1304" t="s">
        <v>1206</v>
      </c>
    </row>
    <row r="27" spans="1:9">
      <c r="A27" s="1086">
        <v>1</v>
      </c>
      <c r="B27" s="1087" t="s">
        <v>996</v>
      </c>
      <c r="C27" s="1087">
        <f>C28+C29</f>
        <v>0</v>
      </c>
      <c r="D27" s="1087"/>
      <c r="E27" s="3670"/>
      <c r="F27" s="3670"/>
      <c r="G27" s="3670"/>
    </row>
    <row r="28" spans="1:9">
      <c r="A28" s="1088" t="s">
        <v>997</v>
      </c>
      <c r="B28" s="1087" t="s">
        <v>998</v>
      </c>
      <c r="C28" s="1087"/>
      <c r="D28" s="1087"/>
      <c r="E28" s="3670"/>
      <c r="F28" s="3670"/>
      <c r="G28" s="367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671"/>
      <c r="F32" s="3671"/>
      <c r="G32" s="3671"/>
    </row>
    <row r="33" spans="1:7" hidden="1">
      <c r="A33" s="3666" t="s">
        <v>1007</v>
      </c>
      <c r="B33" s="3667"/>
      <c r="C33" s="3667"/>
      <c r="D33" s="3668"/>
      <c r="E33" s="3669"/>
      <c r="F33" s="3669"/>
      <c r="G33" s="3669"/>
    </row>
    <row r="34" spans="1:7" hidden="1">
      <c r="A34" s="1090">
        <v>1</v>
      </c>
      <c r="B34" s="1087" t="s">
        <v>1008</v>
      </c>
      <c r="C34" s="1087"/>
      <c r="D34" s="1087"/>
      <c r="E34" s="3670"/>
      <c r="F34" s="3670"/>
      <c r="G34" s="3670"/>
    </row>
    <row r="35" spans="1:7" hidden="1">
      <c r="A35" s="1090">
        <v>2</v>
      </c>
      <c r="B35" s="1087" t="s">
        <v>1009</v>
      </c>
      <c r="C35" s="1087"/>
      <c r="D35" s="1087"/>
      <c r="E35" s="3670"/>
      <c r="F35" s="3670"/>
      <c r="G35" s="3670"/>
    </row>
    <row r="36" spans="1:7" hidden="1">
      <c r="A36" s="1090">
        <v>3</v>
      </c>
      <c r="B36" s="1087" t="s">
        <v>1010</v>
      </c>
      <c r="C36" s="1087"/>
      <c r="D36" s="1087"/>
      <c r="E36" s="3670"/>
      <c r="F36" s="3670"/>
      <c r="G36" s="3670"/>
    </row>
    <row r="37" spans="1:7" hidden="1">
      <c r="A37" s="1090">
        <v>4</v>
      </c>
      <c r="B37" s="1087" t="s">
        <v>1011</v>
      </c>
      <c r="C37" s="1087"/>
      <c r="D37" s="1087"/>
      <c r="E37" s="3670"/>
      <c r="F37" s="3670"/>
      <c r="G37" s="3670"/>
    </row>
    <row r="38" spans="1:7" hidden="1">
      <c r="A38" s="3666" t="s">
        <v>1012</v>
      </c>
      <c r="B38" s="3667"/>
      <c r="C38" s="3667"/>
      <c r="D38" s="3668"/>
      <c r="E38" s="3669"/>
      <c r="F38" s="3669"/>
      <c r="G38" s="366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9" sqref="P39"/>
      <selection pane="bottomLeft" activeCell="P39" sqref="P3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690" t="s">
        <v>2212</v>
      </c>
      <c r="D4" s="3691"/>
      <c r="E4" s="3691"/>
      <c r="F4" s="3691"/>
      <c r="G4" s="3691"/>
      <c r="H4" s="3691"/>
      <c r="I4" s="3691"/>
      <c r="J4" s="3691"/>
      <c r="K4" s="3691"/>
      <c r="L4" s="3691"/>
      <c r="M4" s="3691"/>
      <c r="N4" s="3691"/>
      <c r="O4" s="3691"/>
      <c r="P4" s="3691"/>
      <c r="Q4" s="3691"/>
      <c r="R4" s="3691"/>
      <c r="S4" s="3692"/>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6"/>
      <c r="W24" s="2987" t="s">
        <v>2229</v>
      </c>
      <c r="X24" s="2243" t="s">
        <v>2230</v>
      </c>
      <c r="Y24" s="2986"/>
      <c r="Z24" s="2988" t="s">
        <v>2229</v>
      </c>
    </row>
    <row r="25" spans="1:45">
      <c r="A25" s="250" t="s">
        <v>2231</v>
      </c>
      <c r="B25" s="13">
        <f>SUM(B27:B10000)</f>
        <v>0</v>
      </c>
      <c r="C25" s="3687" t="s">
        <v>45</v>
      </c>
      <c r="D25" s="3688"/>
      <c r="E25" s="3688"/>
      <c r="F25" s="3688"/>
      <c r="G25" s="3688"/>
      <c r="H25" s="3688"/>
      <c r="I25" s="3688"/>
      <c r="J25" s="3688"/>
      <c r="K25" s="3688"/>
      <c r="L25" s="3688"/>
      <c r="M25" s="3688"/>
      <c r="N25" s="3688"/>
      <c r="O25" s="3688"/>
      <c r="P25" s="3688"/>
      <c r="Q25" s="3689"/>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5" zoomScale="85" zoomScaleNormal="70" zoomScaleSheetLayoutView="85" workbookViewId="0">
      <selection activeCell="G50" sqref="G5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8" customWidth="1"/>
    <col min="12" max="12" width="12.25" style="1909" customWidth="1"/>
    <col min="13" max="15" width="12.25" style="1667" customWidth="1"/>
    <col min="16" max="16" width="4.75" style="1805"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2747</v>
      </c>
      <c r="D1" s="1640"/>
      <c r="E1" s="1641" t="s">
        <v>2745</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401252</v>
      </c>
      <c r="C2" s="1651" t="str">
        <f>'数据-取费表'!B3</f>
        <v>元</v>
      </c>
      <c r="D2" s="1652" t="s">
        <v>1240</v>
      </c>
      <c r="E2" s="1653" t="e">
        <f ca="1">SUMIF(INDIRECT("'"&amp;G2&amp;"'"&amp;"!A:A"),"承租人权益价值",INDIRECT("'"&amp;G2&amp;"'"&amp;"!c:c"))</f>
        <v>#REF!</v>
      </c>
      <c r="F2" s="1654" t="str">
        <f>C2</f>
        <v>元</v>
      </c>
      <c r="G2" s="1655"/>
      <c r="H2" s="2991"/>
      <c r="I2" s="2991"/>
      <c r="J2" s="2991"/>
      <c r="K2" s="2992"/>
      <c r="L2" s="2993"/>
      <c r="M2" s="2991"/>
      <c r="N2" s="2991"/>
      <c r="O2" s="2991"/>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6251</v>
      </c>
      <c r="C3" s="1660" t="s">
        <v>2244</v>
      </c>
      <c r="D3" s="1660">
        <f>IF(C1="仅计算典型户型",'数据-取费表'!E5,'数据-取费表'!B5)</f>
        <v>64.19</v>
      </c>
      <c r="E3" s="2991"/>
      <c r="F3" s="2994"/>
      <c r="G3" s="2991"/>
      <c r="H3" s="2991"/>
      <c r="I3" s="2991"/>
      <c r="J3" s="2991"/>
      <c r="K3" s="2992"/>
      <c r="L3" s="2993"/>
      <c r="M3" s="2991"/>
      <c r="N3" s="2991"/>
      <c r="O3" s="2991"/>
      <c r="P3" s="1661"/>
      <c r="Q3" s="1657"/>
      <c r="R3" s="1657"/>
      <c r="S3" s="1657"/>
      <c r="T3" s="1657"/>
      <c r="U3" s="1657"/>
      <c r="V3" s="1657"/>
      <c r="W3" s="1657"/>
      <c r="X3" s="1657"/>
      <c r="Y3" s="1657"/>
      <c r="Z3" s="1657"/>
      <c r="AA3" s="1657"/>
      <c r="AB3" s="1657"/>
      <c r="AC3" s="1662"/>
    </row>
    <row r="4" spans="1:29" ht="15">
      <c r="A4" s="1663" t="s">
        <v>2245</v>
      </c>
      <c r="B4" s="1664"/>
      <c r="C4" s="3726" t="s">
        <v>2246</v>
      </c>
      <c r="D4" s="3727"/>
      <c r="E4" s="3728" t="s">
        <v>2247</v>
      </c>
      <c r="F4" s="3729"/>
      <c r="G4" s="3726" t="s">
        <v>2248</v>
      </c>
      <c r="H4" s="3727"/>
      <c r="I4" s="3726" t="s">
        <v>2249</v>
      </c>
      <c r="J4" s="3727"/>
      <c r="K4" s="1665" t="s">
        <v>2250</v>
      </c>
      <c r="L4" s="2995"/>
      <c r="M4" s="2996"/>
      <c r="N4" s="2996"/>
      <c r="O4" s="2996"/>
      <c r="P4" s="3730" t="s">
        <v>2251</v>
      </c>
      <c r="Q4" s="3731"/>
      <c r="R4" s="3715" t="s">
        <v>2247</v>
      </c>
      <c r="S4" s="3716"/>
      <c r="T4" s="3715" t="s">
        <v>2248</v>
      </c>
      <c r="U4" s="3716"/>
      <c r="V4" s="3736" t="s">
        <v>2249</v>
      </c>
      <c r="W4" s="3736"/>
      <c r="X4" s="1666"/>
      <c r="Y4" s="3715" t="s">
        <v>2251</v>
      </c>
      <c r="Z4" s="3716"/>
      <c r="AA4" s="3723" t="s">
        <v>2247</v>
      </c>
      <c r="AB4" s="3723" t="s">
        <v>2248</v>
      </c>
      <c r="AC4" s="3723" t="s">
        <v>2249</v>
      </c>
    </row>
    <row r="5" spans="1:29" ht="30.75" customHeight="1">
      <c r="A5" s="1668"/>
      <c r="B5" s="1669"/>
      <c r="C5" s="3711" t="s">
        <v>3119</v>
      </c>
      <c r="D5" s="3712"/>
      <c r="E5" s="3737" t="s">
        <v>3701</v>
      </c>
      <c r="F5" s="3738"/>
      <c r="G5" s="3711" t="s">
        <v>3702</v>
      </c>
      <c r="H5" s="3712"/>
      <c r="I5" s="3711" t="str">
        <f>G5</f>
        <v>东关二条</v>
      </c>
      <c r="J5" s="3712"/>
      <c r="K5" s="1670"/>
      <c r="L5" s="2995"/>
      <c r="M5" s="2996"/>
      <c r="N5" s="2996"/>
      <c r="O5" s="2996"/>
      <c r="P5" s="3732"/>
      <c r="Q5" s="3733"/>
      <c r="R5" s="3717"/>
      <c r="S5" s="3718"/>
      <c r="T5" s="3717"/>
      <c r="U5" s="3718"/>
      <c r="V5" s="3736"/>
      <c r="W5" s="3736"/>
      <c r="X5" s="1666"/>
      <c r="Y5" s="3717"/>
      <c r="Z5" s="3718"/>
      <c r="AA5" s="3724"/>
      <c r="AB5" s="3724"/>
      <c r="AC5" s="3724"/>
    </row>
    <row r="6" spans="1:29" ht="15.75" thickBot="1">
      <c r="A6" s="1671"/>
      <c r="B6" s="1672"/>
      <c r="C6" s="3709" t="s">
        <v>2256</v>
      </c>
      <c r="D6" s="3710"/>
      <c r="E6" s="3739" t="s">
        <v>2256</v>
      </c>
      <c r="F6" s="3740"/>
      <c r="G6" s="3709" t="s">
        <v>2256</v>
      </c>
      <c r="H6" s="3710"/>
      <c r="I6" s="3709" t="s">
        <v>2256</v>
      </c>
      <c r="J6" s="3710"/>
      <c r="K6" s="1670" t="s">
        <v>2257</v>
      </c>
      <c r="L6" s="2995"/>
      <c r="M6" s="2996"/>
      <c r="N6" s="2996"/>
      <c r="O6" s="2996"/>
      <c r="P6" s="3734"/>
      <c r="Q6" s="3735"/>
      <c r="R6" s="3717"/>
      <c r="S6" s="3718"/>
      <c r="T6" s="3719"/>
      <c r="U6" s="3720"/>
      <c r="V6" s="3736"/>
      <c r="W6" s="3736"/>
      <c r="X6" s="1666"/>
      <c r="Y6" s="3719"/>
      <c r="Z6" s="3720"/>
      <c r="AA6" s="3725"/>
      <c r="AB6" s="3725"/>
      <c r="AC6" s="3725"/>
    </row>
    <row r="7" spans="1:29" s="1685" customFormat="1" ht="15.75" thickBot="1">
      <c r="A7" s="1673" t="s">
        <v>2258</v>
      </c>
      <c r="B7" s="1674"/>
      <c r="C7" s="1675">
        <f>'数据-取费表'!B2</f>
        <v>40002</v>
      </c>
      <c r="D7" s="1676">
        <v>100</v>
      </c>
      <c r="E7" s="1677">
        <v>39876</v>
      </c>
      <c r="F7" s="1678">
        <f>SUMIF(58:58,YEAR(E7)&amp;"-"&amp;MONTH(E7),59:59)</f>
        <v>98</v>
      </c>
      <c r="G7" s="1677">
        <v>39933</v>
      </c>
      <c r="H7" s="1676">
        <f>SUMIF(58:58,YEAR(G7)&amp;"-"&amp;MONTH(G7),59:59)</f>
        <v>99</v>
      </c>
      <c r="I7" s="1677">
        <v>39854</v>
      </c>
      <c r="J7" s="1676">
        <f>SUMIF(58:58,YEAR(I7)&amp;"-"&amp;MONTH(I7),59:59)</f>
        <v>98</v>
      </c>
      <c r="K7" s="1679"/>
      <c r="L7" s="2995"/>
      <c r="M7" s="2968"/>
      <c r="N7" s="2968"/>
      <c r="O7" s="2968"/>
      <c r="P7" s="3713" t="s">
        <v>2259</v>
      </c>
      <c r="Q7" s="3721"/>
      <c r="R7" s="1681" t="s">
        <v>34</v>
      </c>
      <c r="S7" s="1682">
        <f t="shared" ref="S7:S15" si="0">F7</f>
        <v>98</v>
      </c>
      <c r="T7" s="1681" t="s">
        <v>34</v>
      </c>
      <c r="U7" s="1682">
        <f t="shared" ref="U7:U15" si="1">H7</f>
        <v>99</v>
      </c>
      <c r="V7" s="1681" t="s">
        <v>34</v>
      </c>
      <c r="W7" s="1682">
        <f t="shared" ref="W7:W15" si="2">J7</f>
        <v>98</v>
      </c>
      <c r="X7" s="1683"/>
      <c r="Y7" s="3713" t="s">
        <v>2259</v>
      </c>
      <c r="Z7" s="3714"/>
      <c r="AA7" s="1684">
        <f>D7/F7</f>
        <v>1.0204081632653061</v>
      </c>
      <c r="AB7" s="1684">
        <f>D7/H7</f>
        <v>1.0101010101010102</v>
      </c>
      <c r="AC7" s="1684">
        <f>D7/J7</f>
        <v>1.0204081632653061</v>
      </c>
    </row>
    <row r="8" spans="1:29" s="1685" customFormat="1" ht="15.75" thickBot="1">
      <c r="A8" s="1673" t="s">
        <v>2260</v>
      </c>
      <c r="B8" s="1674"/>
      <c r="C8" s="1686" t="s">
        <v>2261</v>
      </c>
      <c r="D8" s="1676">
        <v>100</v>
      </c>
      <c r="E8" s="1686" t="s">
        <v>2261</v>
      </c>
      <c r="F8" s="1678">
        <f>SUMIF(61:61,E8,62:62)-SUMIF(61:61,C8,62:62)+100</f>
        <v>100</v>
      </c>
      <c r="G8" s="1686" t="s">
        <v>2261</v>
      </c>
      <c r="H8" s="1676">
        <f>SUMIF(61:61,G8,62:62)-SUMIF(61:61,C8,62:62)+100</f>
        <v>100</v>
      </c>
      <c r="I8" s="1686" t="s">
        <v>2261</v>
      </c>
      <c r="J8" s="1676">
        <f>SUMIF(61:61,I8,62:62)-SUMIF(61:61,C8,62:62)+100</f>
        <v>100</v>
      </c>
      <c r="K8" s="1679"/>
      <c r="L8" s="2995"/>
      <c r="M8" s="2968"/>
      <c r="N8" s="2968"/>
      <c r="O8" s="2968"/>
      <c r="P8" s="3713" t="s">
        <v>2262</v>
      </c>
      <c r="Q8" s="3714"/>
      <c r="R8" s="1681" t="s">
        <v>34</v>
      </c>
      <c r="S8" s="1682">
        <f t="shared" si="0"/>
        <v>100</v>
      </c>
      <c r="T8" s="1681" t="s">
        <v>34</v>
      </c>
      <c r="U8" s="1682">
        <f t="shared" si="1"/>
        <v>100</v>
      </c>
      <c r="V8" s="1681" t="s">
        <v>34</v>
      </c>
      <c r="W8" s="1682">
        <f t="shared" si="2"/>
        <v>100</v>
      </c>
      <c r="X8" s="1683"/>
      <c r="Y8" s="3713" t="s">
        <v>2262</v>
      </c>
      <c r="Z8" s="3714"/>
      <c r="AA8" s="1684">
        <f t="shared" ref="AA8:AA46" si="3">D8/F8</f>
        <v>1</v>
      </c>
      <c r="AB8" s="1684">
        <f t="shared" ref="AB8:AB46" si="4">D8/H8</f>
        <v>1</v>
      </c>
      <c r="AC8" s="1684">
        <f t="shared" ref="AC8:AC46" si="5">D8/J8</f>
        <v>1</v>
      </c>
    </row>
    <row r="9" spans="1:29" s="1685" customFormat="1">
      <c r="A9" s="1636" t="s">
        <v>2263</v>
      </c>
      <c r="B9" s="1687" t="s">
        <v>2264</v>
      </c>
      <c r="C9" s="3174" t="s">
        <v>2934</v>
      </c>
      <c r="D9" s="1689">
        <v>100</v>
      </c>
      <c r="E9" s="1690" t="s">
        <v>2886</v>
      </c>
      <c r="F9" s="1691">
        <f>SUMIF(63:63,E9,64:64)-SUMIF(63:63,C9,64:64)+100</f>
        <v>100</v>
      </c>
      <c r="G9" s="1690" t="s">
        <v>2886</v>
      </c>
      <c r="H9" s="1689">
        <f>SUMIF(63:63,G9,64:64)-SUMIF(63:63,C9,64:64)+100</f>
        <v>100</v>
      </c>
      <c r="I9" s="1690" t="s">
        <v>2886</v>
      </c>
      <c r="J9" s="1689">
        <f>SUMIF(63:63,I9,64:64)-SUMIF(63:63,C9,64:64)+100</f>
        <v>100</v>
      </c>
      <c r="K9" s="1679"/>
      <c r="L9" s="2995"/>
      <c r="M9" s="2968"/>
      <c r="N9" s="2968"/>
      <c r="O9" s="2968"/>
      <c r="P9" s="3722" t="s">
        <v>2265</v>
      </c>
      <c r="Q9" s="1635" t="str">
        <f t="shared" ref="Q9:Q15" si="6">B9</f>
        <v>用途</v>
      </c>
      <c r="R9" s="1681" t="s">
        <v>25</v>
      </c>
      <c r="S9" s="1682">
        <f t="shared" si="0"/>
        <v>100</v>
      </c>
      <c r="T9" s="1681" t="s">
        <v>25</v>
      </c>
      <c r="U9" s="1682">
        <f t="shared" si="1"/>
        <v>100</v>
      </c>
      <c r="V9" s="1681" t="s">
        <v>25</v>
      </c>
      <c r="W9" s="1682">
        <f t="shared" si="2"/>
        <v>100</v>
      </c>
      <c r="X9" s="1683"/>
      <c r="Y9" s="3557" t="s">
        <v>2266</v>
      </c>
      <c r="Z9" s="1693" t="str">
        <f t="shared" ref="Z9:Z15" si="7">Q9</f>
        <v>用途</v>
      </c>
      <c r="AA9" s="1684">
        <f t="shared" si="3"/>
        <v>1</v>
      </c>
      <c r="AB9" s="1684">
        <f t="shared" si="4"/>
        <v>1</v>
      </c>
      <c r="AC9" s="1684">
        <f t="shared" si="5"/>
        <v>1</v>
      </c>
    </row>
    <row r="10" spans="1:29" s="1701" customFormat="1" ht="27">
      <c r="A10" s="1694"/>
      <c r="B10" s="1695" t="s">
        <v>2267</v>
      </c>
      <c r="C10" s="1696" t="s">
        <v>2935</v>
      </c>
      <c r="D10" s="1697">
        <v>100</v>
      </c>
      <c r="E10" s="1698" t="s">
        <v>2935</v>
      </c>
      <c r="F10" s="1699">
        <f>SUMIF(65:65,E10,66:66)-SUMIF(65:65,C10,66:66)+100</f>
        <v>100</v>
      </c>
      <c r="G10" s="1696" t="s">
        <v>2935</v>
      </c>
      <c r="H10" s="1697">
        <f>SUMIF(65:65,G10,66:66)-SUMIF(65:65,C10,66:66)+100</f>
        <v>100</v>
      </c>
      <c r="I10" s="1696" t="s">
        <v>2935</v>
      </c>
      <c r="J10" s="1697">
        <f>SUMIF(65:65,I10,66:66)-SUMIF(65:65,C10,66:66)+100</f>
        <v>100</v>
      </c>
      <c r="K10" s="1700"/>
      <c r="L10" s="2997"/>
      <c r="M10" s="2998"/>
      <c r="N10" s="2998"/>
      <c r="O10" s="2998"/>
      <c r="P10" s="3722"/>
      <c r="Q10" s="1635" t="str">
        <f t="shared" si="6"/>
        <v>土地使用年限（年）</v>
      </c>
      <c r="R10" s="1681" t="s">
        <v>25</v>
      </c>
      <c r="S10" s="1682">
        <f t="shared" si="0"/>
        <v>100</v>
      </c>
      <c r="T10" s="1681" t="s">
        <v>25</v>
      </c>
      <c r="U10" s="1682">
        <f t="shared" si="1"/>
        <v>100</v>
      </c>
      <c r="V10" s="1681" t="s">
        <v>25</v>
      </c>
      <c r="W10" s="1682">
        <f t="shared" si="2"/>
        <v>100</v>
      </c>
      <c r="X10" s="1683"/>
      <c r="Y10" s="3557"/>
      <c r="Z10" s="1693" t="str">
        <f t="shared" si="7"/>
        <v>土地使用年限（年）</v>
      </c>
      <c r="AA10" s="1684">
        <f t="shared" si="3"/>
        <v>1</v>
      </c>
      <c r="AB10" s="1684">
        <f t="shared" si="4"/>
        <v>1</v>
      </c>
      <c r="AC10" s="1684">
        <f t="shared" si="5"/>
        <v>1</v>
      </c>
    </row>
    <row r="11" spans="1:29" ht="15">
      <c r="A11" s="1702"/>
      <c r="B11" s="1695" t="s">
        <v>2268</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9"/>
      <c r="M11" s="2996"/>
      <c r="N11" s="2996"/>
      <c r="O11" s="2996"/>
      <c r="P11" s="3722"/>
      <c r="Q11" s="1635" t="str">
        <f t="shared" si="6"/>
        <v>容积率</v>
      </c>
      <c r="R11" s="1681" t="s">
        <v>28</v>
      </c>
      <c r="S11" s="1682">
        <f t="shared" si="0"/>
        <v>100</v>
      </c>
      <c r="T11" s="1681" t="s">
        <v>28</v>
      </c>
      <c r="U11" s="1682">
        <f t="shared" si="1"/>
        <v>100</v>
      </c>
      <c r="V11" s="1681" t="s">
        <v>28</v>
      </c>
      <c r="W11" s="1682">
        <f t="shared" si="2"/>
        <v>100</v>
      </c>
      <c r="X11" s="1683"/>
      <c r="Y11" s="3557"/>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5"/>
      <c r="M12" s="2968"/>
      <c r="N12" s="2968"/>
      <c r="O12" s="2968"/>
      <c r="P12" s="3722"/>
      <c r="Q12" s="1635">
        <f t="shared" si="6"/>
        <v>111</v>
      </c>
      <c r="R12" s="1681" t="s">
        <v>28</v>
      </c>
      <c r="S12" s="1682">
        <f t="shared" si="0"/>
        <v>100</v>
      </c>
      <c r="T12" s="1681" t="s">
        <v>28</v>
      </c>
      <c r="U12" s="1682">
        <f t="shared" si="1"/>
        <v>100</v>
      </c>
      <c r="V12" s="1681" t="s">
        <v>28</v>
      </c>
      <c r="W12" s="1682">
        <f t="shared" si="2"/>
        <v>100</v>
      </c>
      <c r="X12" s="1683"/>
      <c r="Y12" s="3557"/>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0"/>
      <c r="M13" s="2996"/>
      <c r="N13" s="2996"/>
      <c r="O13" s="2996"/>
      <c r="P13" s="3722"/>
      <c r="Q13" s="1635">
        <f t="shared" si="6"/>
        <v>111</v>
      </c>
      <c r="R13" s="1681" t="s">
        <v>28</v>
      </c>
      <c r="S13" s="1682">
        <f t="shared" si="0"/>
        <v>100</v>
      </c>
      <c r="T13" s="1681" t="s">
        <v>28</v>
      </c>
      <c r="U13" s="1682">
        <f t="shared" si="1"/>
        <v>100</v>
      </c>
      <c r="V13" s="1681" t="s">
        <v>28</v>
      </c>
      <c r="W13" s="1682">
        <f t="shared" si="2"/>
        <v>100</v>
      </c>
      <c r="X13" s="1683"/>
      <c r="Y13" s="3557"/>
      <c r="Z13" s="1693">
        <f t="shared" si="7"/>
        <v>111</v>
      </c>
      <c r="AA13" s="1684">
        <f t="shared" si="3"/>
        <v>1</v>
      </c>
      <c r="AB13" s="1684">
        <f t="shared" si="4"/>
        <v>1</v>
      </c>
      <c r="AC13" s="1684">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0"/>
      <c r="M14" s="2996"/>
      <c r="N14" s="2996"/>
      <c r="O14" s="2996"/>
      <c r="P14" s="3722"/>
      <c r="Q14" s="1635">
        <f t="shared" si="6"/>
        <v>111</v>
      </c>
      <c r="R14" s="1681" t="s">
        <v>28</v>
      </c>
      <c r="S14" s="1682">
        <f t="shared" si="0"/>
        <v>100</v>
      </c>
      <c r="T14" s="1681" t="s">
        <v>28</v>
      </c>
      <c r="U14" s="1682">
        <f t="shared" si="1"/>
        <v>100</v>
      </c>
      <c r="V14" s="1681" t="s">
        <v>28</v>
      </c>
      <c r="W14" s="1682">
        <f t="shared" si="2"/>
        <v>100</v>
      </c>
      <c r="X14" s="1683"/>
      <c r="Y14" s="3557"/>
      <c r="Z14" s="1693">
        <f t="shared" si="7"/>
        <v>111</v>
      </c>
      <c r="AA14" s="1684">
        <f t="shared" si="3"/>
        <v>1</v>
      </c>
      <c r="AB14" s="1684">
        <f t="shared" si="4"/>
        <v>1</v>
      </c>
      <c r="AC14" s="1684">
        <f t="shared" si="5"/>
        <v>1</v>
      </c>
    </row>
    <row r="15" spans="1:29" ht="45">
      <c r="A15" s="1717" t="s">
        <v>2269</v>
      </c>
      <c r="B15" s="1718" t="s">
        <v>1703</v>
      </c>
      <c r="C15" s="3179" t="str">
        <f>估价对象房地状况!C3</f>
        <v>周边有沿海赛洛城、金都杭城、金海国际等住宅小区，居住社区成熟度较好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c r="L15" s="3000"/>
      <c r="M15" s="2996"/>
      <c r="N15" s="2996"/>
      <c r="O15" s="2996"/>
      <c r="P15" s="3700" t="s">
        <v>2270</v>
      </c>
      <c r="Q15" s="1616" t="str">
        <f t="shared" si="6"/>
        <v>居住社区成熟度</v>
      </c>
      <c r="R15" s="1725" t="s">
        <v>28</v>
      </c>
      <c r="S15" s="1726">
        <f t="shared" si="0"/>
        <v>100</v>
      </c>
      <c r="T15" s="1725" t="s">
        <v>28</v>
      </c>
      <c r="U15" s="1726">
        <f t="shared" si="1"/>
        <v>100</v>
      </c>
      <c r="V15" s="1725" t="s">
        <v>28</v>
      </c>
      <c r="W15" s="1726">
        <f t="shared" si="2"/>
        <v>100</v>
      </c>
      <c r="X15" s="1666"/>
      <c r="Y15" s="3702" t="s">
        <v>2270</v>
      </c>
      <c r="Z15" s="1727" t="str">
        <f t="shared" si="7"/>
        <v>居住社区成熟度</v>
      </c>
      <c r="AA15" s="1728">
        <f t="shared" si="3"/>
        <v>1</v>
      </c>
      <c r="AB15" s="1728">
        <f t="shared" si="4"/>
        <v>1</v>
      </c>
      <c r="AC15" s="1728">
        <f t="shared" si="5"/>
        <v>1</v>
      </c>
    </row>
    <row r="16" spans="1:29" ht="15">
      <c r="A16" s="1702"/>
      <c r="B16" s="1729"/>
      <c r="C16" s="1730" t="s">
        <v>30</v>
      </c>
      <c r="D16" s="1731"/>
      <c r="E16" s="1730" t="s">
        <v>30</v>
      </c>
      <c r="F16" s="1733"/>
      <c r="G16" s="1730" t="s">
        <v>30</v>
      </c>
      <c r="H16" s="1735"/>
      <c r="I16" s="1730" t="s">
        <v>30</v>
      </c>
      <c r="J16" s="1731"/>
      <c r="K16" s="1736"/>
      <c r="L16" s="3000"/>
      <c r="M16" s="2996"/>
      <c r="N16" s="2996"/>
      <c r="O16" s="2996"/>
      <c r="P16" s="3701"/>
      <c r="Q16" s="1616"/>
      <c r="R16" s="1725"/>
      <c r="S16" s="1726"/>
      <c r="T16" s="1725"/>
      <c r="U16" s="1726"/>
      <c r="V16" s="1725"/>
      <c r="W16" s="1726"/>
      <c r="X16" s="1666"/>
      <c r="Y16" s="3703"/>
      <c r="Z16" s="1727"/>
      <c r="AA16" s="1728">
        <v>1</v>
      </c>
      <c r="AB16" s="1728">
        <v>1</v>
      </c>
      <c r="AC16" s="1728">
        <v>1</v>
      </c>
    </row>
    <row r="17" spans="1:29" ht="84">
      <c r="A17" s="1702"/>
      <c r="B17" s="1737" t="s">
        <v>1705</v>
      </c>
      <c r="C17" s="3178" t="str">
        <f>估价对象房地状况!C6</f>
        <v>距地铁1号线四惠站（换乘站）约1000米（2003），距地铁7号线百子湾站约1.5公里（2014），周边有多条公交线路通过，交通便捷度较好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3000"/>
      <c r="M17" s="2996"/>
      <c r="N17" s="2996"/>
      <c r="O17" s="2996"/>
      <c r="P17" s="3701"/>
      <c r="Q17" s="1616" t="str">
        <f>B17</f>
        <v>交通便捷度</v>
      </c>
      <c r="R17" s="1725" t="s">
        <v>28</v>
      </c>
      <c r="S17" s="1726">
        <f>F17</f>
        <v>100</v>
      </c>
      <c r="T17" s="1725" t="s">
        <v>28</v>
      </c>
      <c r="U17" s="1726">
        <f>H17</f>
        <v>100</v>
      </c>
      <c r="V17" s="1725" t="s">
        <v>28</v>
      </c>
      <c r="W17" s="1726">
        <f>J17</f>
        <v>100</v>
      </c>
      <c r="X17" s="1666"/>
      <c r="Y17" s="3703"/>
      <c r="Z17" s="1727" t="str">
        <f>Q17</f>
        <v>交通便捷度</v>
      </c>
      <c r="AA17" s="1728">
        <f t="shared" si="3"/>
        <v>1</v>
      </c>
      <c r="AB17" s="1728">
        <f t="shared" si="4"/>
        <v>1</v>
      </c>
      <c r="AC17" s="1728">
        <f t="shared" si="5"/>
        <v>1</v>
      </c>
    </row>
    <row r="18" spans="1:29" ht="15">
      <c r="A18" s="1702"/>
      <c r="B18" s="1743"/>
      <c r="C18" s="1730" t="s">
        <v>30</v>
      </c>
      <c r="D18" s="1735"/>
      <c r="E18" s="1730" t="s">
        <v>30</v>
      </c>
      <c r="F18" s="1740"/>
      <c r="G18" s="1730" t="s">
        <v>30</v>
      </c>
      <c r="H18" s="1731"/>
      <c r="I18" s="1730" t="s">
        <v>30</v>
      </c>
      <c r="J18" s="1731"/>
      <c r="K18" s="1736"/>
      <c r="L18" s="3000"/>
      <c r="M18" s="2996"/>
      <c r="N18" s="2996"/>
      <c r="O18" s="2996"/>
      <c r="P18" s="3701"/>
      <c r="Q18" s="1616"/>
      <c r="R18" s="1725"/>
      <c r="S18" s="1726"/>
      <c r="T18" s="1725"/>
      <c r="U18" s="1726"/>
      <c r="V18" s="1725"/>
      <c r="W18" s="1726"/>
      <c r="X18" s="1666"/>
      <c r="Y18" s="3703"/>
      <c r="Z18" s="1727"/>
      <c r="AA18" s="1728">
        <v>1</v>
      </c>
      <c r="AB18" s="1728">
        <v>1</v>
      </c>
      <c r="AC18" s="1728">
        <v>1</v>
      </c>
    </row>
    <row r="19" spans="1:29" ht="132">
      <c r="A19" s="1702"/>
      <c r="B19" s="1737" t="s">
        <v>1704</v>
      </c>
      <c r="C19" s="3178" t="str">
        <f>估价对象房地状况!C7</f>
        <v>华堂商场（十里堡店）、北京四惠中医医院（2016）、北京市朝阳区日坛小学（1962）、垂杨柳第四小学（1971）、北京市第十七中学（百子湾校区）（1946）、北京市日坛中学（四惠校区）（2015）</v>
      </c>
      <c r="D19" s="1742">
        <v>100</v>
      </c>
      <c r="E19" s="1747"/>
      <c r="F19" s="1748">
        <f>SUMIF(80:80,E20,81:81)-SUMIF(80:80,C20,81:81)+100</f>
        <v>100</v>
      </c>
      <c r="G19" s="1749"/>
      <c r="H19" s="1735">
        <f>SUMIF(80:80,G20,81:81)-SUMIF(80:80,C20,81:81)+100</f>
        <v>100</v>
      </c>
      <c r="I19" s="1747"/>
      <c r="J19" s="1735">
        <f>SUMIF(80:80,I20,81:81)-SUMIF(80:80,C20,81:81)+100</f>
        <v>100</v>
      </c>
      <c r="K19" s="1724"/>
      <c r="L19" s="3000"/>
      <c r="M19" s="2996"/>
      <c r="N19" s="2996"/>
      <c r="O19" s="2996"/>
      <c r="P19" s="3701"/>
      <c r="Q19" s="1616" t="str">
        <f>B19</f>
        <v>公共配套设施</v>
      </c>
      <c r="R19" s="1725" t="s">
        <v>28</v>
      </c>
      <c r="S19" s="1726">
        <f>F19</f>
        <v>100</v>
      </c>
      <c r="T19" s="1725" t="s">
        <v>28</v>
      </c>
      <c r="U19" s="1726">
        <f>H19</f>
        <v>100</v>
      </c>
      <c r="V19" s="1725" t="s">
        <v>28</v>
      </c>
      <c r="W19" s="1726">
        <f>J19</f>
        <v>100</v>
      </c>
      <c r="X19" s="1666"/>
      <c r="Y19" s="3703"/>
      <c r="Z19" s="1727" t="str">
        <f>Q19</f>
        <v>公共配套设施</v>
      </c>
      <c r="AA19" s="1728">
        <f t="shared" si="3"/>
        <v>1</v>
      </c>
      <c r="AB19" s="1728">
        <f t="shared" si="4"/>
        <v>1</v>
      </c>
      <c r="AC19" s="1728">
        <f t="shared" si="5"/>
        <v>1</v>
      </c>
    </row>
    <row r="20" spans="1:29" ht="15">
      <c r="A20" s="1702"/>
      <c r="B20" s="1743"/>
      <c r="C20" s="1730" t="s">
        <v>30</v>
      </c>
      <c r="D20" s="1731"/>
      <c r="E20" s="1730" t="s">
        <v>30</v>
      </c>
      <c r="F20" s="1733"/>
      <c r="G20" s="1730" t="s">
        <v>30</v>
      </c>
      <c r="H20" s="1731"/>
      <c r="I20" s="1730" t="s">
        <v>30</v>
      </c>
      <c r="J20" s="1731"/>
      <c r="K20" s="1736"/>
      <c r="L20" s="3000"/>
      <c r="M20" s="2996"/>
      <c r="N20" s="2996"/>
      <c r="O20" s="2996"/>
      <c r="P20" s="3701"/>
      <c r="Q20" s="1616"/>
      <c r="R20" s="1725"/>
      <c r="S20" s="1726"/>
      <c r="T20" s="1725"/>
      <c r="U20" s="1726"/>
      <c r="V20" s="1725"/>
      <c r="W20" s="1726"/>
      <c r="X20" s="1666"/>
      <c r="Y20" s="3703"/>
      <c r="Z20" s="1727"/>
      <c r="AA20" s="1728">
        <v>1</v>
      </c>
      <c r="AB20" s="1728">
        <v>1</v>
      </c>
      <c r="AC20" s="1728">
        <v>1</v>
      </c>
    </row>
    <row r="21" spans="1:29" ht="15">
      <c r="A21" s="1702"/>
      <c r="B21" s="1750" t="s">
        <v>1706</v>
      </c>
      <c r="C21" s="317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c r="L21" s="3000"/>
      <c r="M21" s="2996"/>
      <c r="N21" s="2996"/>
      <c r="O21" s="2996"/>
      <c r="P21" s="3701"/>
      <c r="Q21" s="1616" t="str">
        <f>B21</f>
        <v>基础设施水平</v>
      </c>
      <c r="R21" s="1725" t="s">
        <v>28</v>
      </c>
      <c r="S21" s="1726">
        <f>F21</f>
        <v>100</v>
      </c>
      <c r="T21" s="1725" t="s">
        <v>28</v>
      </c>
      <c r="U21" s="1726">
        <f>H21</f>
        <v>100</v>
      </c>
      <c r="V21" s="1725" t="s">
        <v>28</v>
      </c>
      <c r="W21" s="1726">
        <f>J21</f>
        <v>100</v>
      </c>
      <c r="X21" s="1666"/>
      <c r="Y21" s="3703"/>
      <c r="Z21" s="1727" t="str">
        <f>Q21</f>
        <v>基础设施水平</v>
      </c>
      <c r="AA21" s="1728">
        <f t="shared" ref="AA21" si="8">D21/F21</f>
        <v>1</v>
      </c>
      <c r="AB21" s="1728">
        <f t="shared" ref="AB21" si="9">D21/H21</f>
        <v>1</v>
      </c>
      <c r="AC21" s="1728">
        <f t="shared" ref="AC21" si="10">D21/J21</f>
        <v>1</v>
      </c>
    </row>
    <row r="22" spans="1:29" ht="15">
      <c r="A22" s="1702"/>
      <c r="B22" s="1750"/>
      <c r="C22" s="1744" t="s">
        <v>2936</v>
      </c>
      <c r="D22" s="1731"/>
      <c r="E22" s="1744" t="s">
        <v>2936</v>
      </c>
      <c r="F22" s="1733"/>
      <c r="G22" s="1744" t="s">
        <v>2936</v>
      </c>
      <c r="H22" s="1731"/>
      <c r="I22" s="1744" t="s">
        <v>2936</v>
      </c>
      <c r="J22" s="1731"/>
      <c r="K22" s="1751"/>
      <c r="L22" s="3000"/>
      <c r="M22" s="2996"/>
      <c r="N22" s="2996"/>
      <c r="O22" s="2996"/>
      <c r="P22" s="3701"/>
      <c r="Q22" s="1616"/>
      <c r="R22" s="1725"/>
      <c r="S22" s="1726"/>
      <c r="T22" s="1725"/>
      <c r="U22" s="1726"/>
      <c r="V22" s="1725"/>
      <c r="W22" s="1726"/>
      <c r="X22" s="1666"/>
      <c r="Y22" s="3703"/>
      <c r="Z22" s="1727"/>
      <c r="AA22" s="1728">
        <v>1</v>
      </c>
      <c r="AB22" s="1728">
        <v>1</v>
      </c>
      <c r="AC22" s="1728">
        <v>1</v>
      </c>
    </row>
    <row r="23" spans="1:29" ht="84">
      <c r="A23" s="1702"/>
      <c r="B23" s="1737" t="s">
        <v>1707</v>
      </c>
      <c r="C23" s="3178" t="str">
        <f>估价对象房地状况!C9</f>
        <v>区域自然环境：惠水湾森林公园（2019）、百子湾绿地公园（2019）；人文环境：北京政法职业学院(杨闸校区)；综合评价环境状况较好</v>
      </c>
      <c r="D23" s="1735">
        <v>100</v>
      </c>
      <c r="E23" s="1739"/>
      <c r="F23" s="1740">
        <f>SUMIF(84:84,E24,85:85)-SUMIF(84:84,C24,85:85)+100</f>
        <v>100</v>
      </c>
      <c r="G23" s="1741"/>
      <c r="H23" s="1735">
        <f>SUMIF(84:84,G24,85:85)-SUMIF(84:84,C24,85:85)+100</f>
        <v>100</v>
      </c>
      <c r="I23" s="1739"/>
      <c r="J23" s="1735">
        <f>SUMIF(84:84,I24,85:85)-SUMIF(84:84,C24,85:85)+100</f>
        <v>100</v>
      </c>
      <c r="K23" s="1724"/>
      <c r="L23" s="3000"/>
      <c r="M23" s="2996"/>
      <c r="N23" s="2996"/>
      <c r="O23" s="2996"/>
      <c r="P23" s="3701"/>
      <c r="Q23" s="1616" t="str">
        <f>B23</f>
        <v>自然及人文环境</v>
      </c>
      <c r="R23" s="1725" t="s">
        <v>28</v>
      </c>
      <c r="S23" s="1726">
        <f>F23</f>
        <v>100</v>
      </c>
      <c r="T23" s="1725" t="s">
        <v>28</v>
      </c>
      <c r="U23" s="1726">
        <f>H23</f>
        <v>100</v>
      </c>
      <c r="V23" s="1725" t="s">
        <v>28</v>
      </c>
      <c r="W23" s="1726">
        <f>J23</f>
        <v>100</v>
      </c>
      <c r="X23" s="1666"/>
      <c r="Y23" s="3703"/>
      <c r="Z23" s="1727" t="str">
        <f>Q23</f>
        <v>自然及人文环境</v>
      </c>
      <c r="AA23" s="1728">
        <f t="shared" si="3"/>
        <v>1</v>
      </c>
      <c r="AB23" s="1728">
        <f t="shared" si="4"/>
        <v>1</v>
      </c>
      <c r="AC23" s="1728">
        <f t="shared" si="5"/>
        <v>1</v>
      </c>
    </row>
    <row r="24" spans="1:29" ht="15">
      <c r="A24" s="1702"/>
      <c r="B24" s="1743"/>
      <c r="C24" s="1730" t="s">
        <v>31</v>
      </c>
      <c r="D24" s="1731"/>
      <c r="E24" s="1730" t="s">
        <v>31</v>
      </c>
      <c r="F24" s="1733"/>
      <c r="G24" s="1730" t="s">
        <v>31</v>
      </c>
      <c r="H24" s="1731"/>
      <c r="I24" s="1730" t="s">
        <v>31</v>
      </c>
      <c r="J24" s="1731"/>
      <c r="K24" s="1736"/>
      <c r="L24" s="3000"/>
      <c r="M24" s="2996"/>
      <c r="N24" s="2996"/>
      <c r="O24" s="2996"/>
      <c r="P24" s="3701"/>
      <c r="Q24" s="1616"/>
      <c r="R24" s="1725"/>
      <c r="S24" s="1726"/>
      <c r="T24" s="1725"/>
      <c r="U24" s="1726"/>
      <c r="V24" s="1725"/>
      <c r="W24" s="1726"/>
      <c r="X24" s="1666"/>
      <c r="Y24" s="3703"/>
      <c r="Z24" s="1727"/>
      <c r="AA24" s="1728">
        <v>1</v>
      </c>
      <c r="AB24" s="1728">
        <v>1</v>
      </c>
      <c r="AC24" s="1728">
        <v>1</v>
      </c>
    </row>
    <row r="25" spans="1:29" ht="15" hidden="1">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3000"/>
      <c r="M25" s="2996"/>
      <c r="N25" s="2996"/>
      <c r="O25" s="2996"/>
      <c r="P25" s="3701"/>
      <c r="Q25" s="1616" t="str">
        <f t="shared" ref="Q25:Q46" si="11">B25</f>
        <v>楼层-1</v>
      </c>
      <c r="R25" s="1725" t="s">
        <v>28</v>
      </c>
      <c r="S25" s="1726">
        <f>F25</f>
        <v>100</v>
      </c>
      <c r="T25" s="1725" t="s">
        <v>28</v>
      </c>
      <c r="U25" s="1726">
        <f>H25</f>
        <v>100</v>
      </c>
      <c r="V25" s="1725" t="s">
        <v>28</v>
      </c>
      <c r="W25" s="1726">
        <f>J25</f>
        <v>100</v>
      </c>
      <c r="X25" s="1666"/>
      <c r="Y25" s="3703"/>
      <c r="Z25" s="1727" t="str">
        <f>Q25</f>
        <v>楼层-1</v>
      </c>
      <c r="AA25" s="1728">
        <f t="shared" si="3"/>
        <v>1</v>
      </c>
      <c r="AB25" s="1728">
        <f t="shared" si="4"/>
        <v>1</v>
      </c>
      <c r="AC25" s="1728">
        <f t="shared" si="5"/>
        <v>1</v>
      </c>
    </row>
    <row r="26" spans="1:29" ht="15">
      <c r="A26" s="1702"/>
      <c r="B26" s="1695" t="s">
        <v>2272</v>
      </c>
      <c r="C26" s="1752" t="s">
        <v>2940</v>
      </c>
      <c r="D26" s="1711">
        <v>100</v>
      </c>
      <c r="E26" s="1753" t="s">
        <v>2940</v>
      </c>
      <c r="F26" s="1754">
        <f>SUMIF(88:88,E26,89:89)-SUMIF(88:88,C26,89:89)+100</f>
        <v>100</v>
      </c>
      <c r="G26" s="1755" t="s">
        <v>2940</v>
      </c>
      <c r="H26" s="1711">
        <f>SUMIF(88:88,G26,89:89)-SUMIF(88:88,C26,89:89)+100</f>
        <v>100</v>
      </c>
      <c r="I26" s="1753" t="s">
        <v>2940</v>
      </c>
      <c r="J26" s="1711">
        <f>SUMIF(88:88,I26,89:89)-SUMIF(88:88,C26,89:89)+100</f>
        <v>100</v>
      </c>
      <c r="K26" s="1700">
        <v>1</v>
      </c>
      <c r="L26" s="3000"/>
      <c r="M26" s="2996"/>
      <c r="N26" s="2996"/>
      <c r="O26" s="2996"/>
      <c r="P26" s="3701"/>
      <c r="Q26" s="1616" t="str">
        <f t="shared" si="11"/>
        <v>朝向</v>
      </c>
      <c r="R26" s="1725" t="s">
        <v>28</v>
      </c>
      <c r="S26" s="1726">
        <f>F26</f>
        <v>100</v>
      </c>
      <c r="T26" s="1725" t="s">
        <v>28</v>
      </c>
      <c r="U26" s="1726">
        <f>H26</f>
        <v>100</v>
      </c>
      <c r="V26" s="1725" t="s">
        <v>28</v>
      </c>
      <c r="W26" s="1726">
        <f>J26</f>
        <v>100</v>
      </c>
      <c r="X26" s="1666"/>
      <c r="Y26" s="3703"/>
      <c r="Z26" s="1727" t="str">
        <f>Q26</f>
        <v>朝向</v>
      </c>
      <c r="AA26" s="1728">
        <f t="shared" si="3"/>
        <v>1</v>
      </c>
      <c r="AB26" s="1728">
        <f t="shared" si="4"/>
        <v>1</v>
      </c>
      <c r="AC26" s="1728">
        <f t="shared" si="5"/>
        <v>1</v>
      </c>
    </row>
    <row r="27" spans="1:29" s="1685" customFormat="1" ht="15" hidden="1">
      <c r="A27" s="1705"/>
      <c r="B27" s="3181" t="s">
        <v>2941</v>
      </c>
      <c r="C27" s="3234"/>
      <c r="D27" s="1756">
        <v>100</v>
      </c>
      <c r="E27" s="1757"/>
      <c r="F27" s="1758">
        <f>SUMIF(90:90,E27,91:91)-SUMIF(90:90,C27,91:91)+100</f>
        <v>100</v>
      </c>
      <c r="G27" s="1757"/>
      <c r="H27" s="1756">
        <f>SUMIF(90:90,G27,91:91)-SUMIF(90:90,C27,91:91)+100</f>
        <v>100</v>
      </c>
      <c r="I27" s="1757"/>
      <c r="J27" s="1756">
        <f>SUMIF(90:90,I27,91:91)-SUMIF(90:90,C27,91:91)+100</f>
        <v>100</v>
      </c>
      <c r="K27" s="1709"/>
      <c r="L27" s="2995"/>
      <c r="M27" s="2968"/>
      <c r="N27" s="2968"/>
      <c r="O27" s="2968"/>
      <c r="P27" s="3701"/>
      <c r="Q27" s="1635" t="str">
        <f t="shared" si="11"/>
        <v>楼层</v>
      </c>
      <c r="R27" s="1681" t="s">
        <v>28</v>
      </c>
      <c r="S27" s="1682">
        <f>F27</f>
        <v>100</v>
      </c>
      <c r="T27" s="1681" t="s">
        <v>28</v>
      </c>
      <c r="U27" s="1682">
        <f>H27</f>
        <v>100</v>
      </c>
      <c r="V27" s="1681" t="s">
        <v>28</v>
      </c>
      <c r="W27" s="1682">
        <f>J27</f>
        <v>100</v>
      </c>
      <c r="X27" s="1683"/>
      <c r="Y27" s="3703"/>
      <c r="Z27" s="1693" t="str">
        <f>Q27</f>
        <v>楼层</v>
      </c>
      <c r="AA27" s="1728">
        <f>D27/F27</f>
        <v>1</v>
      </c>
      <c r="AB27" s="1728">
        <f>D27/H27</f>
        <v>1</v>
      </c>
      <c r="AC27" s="1728">
        <f>D27/J27</f>
        <v>1</v>
      </c>
    </row>
    <row r="28" spans="1:29" ht="15">
      <c r="A28" s="1702"/>
      <c r="B28" s="3183" t="s">
        <v>2946</v>
      </c>
      <c r="C28" s="3398"/>
      <c r="D28" s="1711">
        <v>100</v>
      </c>
      <c r="E28" s="1710"/>
      <c r="F28" s="1754">
        <f>SUMIF(92:92,E28,93:93)-SUMIF(92:92,C28,93:93)+100</f>
        <v>100</v>
      </c>
      <c r="G28" s="1710"/>
      <c r="H28" s="1711">
        <f>SUMIF(92:92,G28,93:93)-SUMIF(92:92,C28,93:93)+100</f>
        <v>100</v>
      </c>
      <c r="I28" s="1710"/>
      <c r="J28" s="1711">
        <f>SUMIF(92:92,I28,93:93)-SUMIF(92:92,C28,93:93)+100</f>
        <v>100</v>
      </c>
      <c r="K28" s="1709"/>
      <c r="L28" s="3000"/>
      <c r="M28" s="2996"/>
      <c r="N28" s="2996"/>
      <c r="O28" s="2996"/>
      <c r="P28" s="3701"/>
      <c r="Q28" s="1616" t="str">
        <f t="shared" si="11"/>
        <v>建成年代</v>
      </c>
      <c r="R28" s="1725" t="s">
        <v>28</v>
      </c>
      <c r="S28" s="1726">
        <f t="shared" ref="S28:S46" si="12">F28</f>
        <v>100</v>
      </c>
      <c r="T28" s="1725" t="s">
        <v>28</v>
      </c>
      <c r="U28" s="1726">
        <f t="shared" ref="U28:U46" si="13">H28</f>
        <v>100</v>
      </c>
      <c r="V28" s="1725" t="s">
        <v>28</v>
      </c>
      <c r="W28" s="1726">
        <f t="shared" ref="W28:W46" si="14">J28</f>
        <v>100</v>
      </c>
      <c r="X28" s="1666"/>
      <c r="Y28" s="3703"/>
      <c r="Z28" s="1727" t="str">
        <f t="shared" ref="Z28:Z46" si="15">Q28</f>
        <v>建成年代</v>
      </c>
      <c r="AA28" s="1728">
        <f t="shared" si="3"/>
        <v>1</v>
      </c>
      <c r="AB28" s="1728">
        <f t="shared" si="4"/>
        <v>1</v>
      </c>
      <c r="AC28" s="1728">
        <f t="shared" si="5"/>
        <v>1</v>
      </c>
    </row>
    <row r="29" spans="1:29" ht="15.75" thickBot="1">
      <c r="A29" s="1702"/>
      <c r="B29" s="3183" t="s">
        <v>3112</v>
      </c>
      <c r="C29" s="1757" t="s">
        <v>3703</v>
      </c>
      <c r="D29" s="1711">
        <v>100</v>
      </c>
      <c r="E29" s="1757" t="s">
        <v>3707</v>
      </c>
      <c r="F29" s="1754">
        <f>SUMIF(94:94,E29,95:95)-SUMIF(94:94,C29,95:95)+100</f>
        <v>106</v>
      </c>
      <c r="G29" s="1757" t="s">
        <v>3703</v>
      </c>
      <c r="H29" s="1711">
        <f>SUMIF(94:94,G29,95:95)-SUMIF(94:94,C29,95:95)+100</f>
        <v>100</v>
      </c>
      <c r="I29" s="1757" t="s">
        <v>3705</v>
      </c>
      <c r="J29" s="1711">
        <f>SUMIF(94:94,I29,95:95)-SUMIF(94:94,C29,95:95)+100</f>
        <v>103</v>
      </c>
      <c r="K29" s="1709"/>
      <c r="L29" s="3000"/>
      <c r="M29" s="2996"/>
      <c r="N29" s="2996"/>
      <c r="O29" s="2996"/>
      <c r="P29" s="3701"/>
      <c r="Q29" s="1616" t="str">
        <f t="shared" si="11"/>
        <v>楼层</v>
      </c>
      <c r="R29" s="1725" t="s">
        <v>28</v>
      </c>
      <c r="S29" s="1726">
        <f t="shared" si="12"/>
        <v>106</v>
      </c>
      <c r="T29" s="1725" t="s">
        <v>28</v>
      </c>
      <c r="U29" s="1726">
        <f t="shared" si="13"/>
        <v>100</v>
      </c>
      <c r="V29" s="1725" t="s">
        <v>28</v>
      </c>
      <c r="W29" s="1726">
        <f t="shared" si="14"/>
        <v>103</v>
      </c>
      <c r="X29" s="1666"/>
      <c r="Y29" s="3703"/>
      <c r="Z29" s="1727" t="str">
        <f t="shared" si="15"/>
        <v>楼层</v>
      </c>
      <c r="AA29" s="1728">
        <f t="shared" si="3"/>
        <v>0.94339622641509435</v>
      </c>
      <c r="AB29" s="1728">
        <f t="shared" si="4"/>
        <v>1</v>
      </c>
      <c r="AC29" s="1728">
        <f t="shared" si="5"/>
        <v>0.970873786407767</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0"/>
      <c r="M30" s="2996"/>
      <c r="N30" s="2996"/>
      <c r="O30" s="2996"/>
      <c r="P30" s="3701"/>
      <c r="Q30" s="1616">
        <f t="shared" si="11"/>
        <v>111</v>
      </c>
      <c r="R30" s="1725" t="s">
        <v>28</v>
      </c>
      <c r="S30" s="1726">
        <f t="shared" si="12"/>
        <v>100</v>
      </c>
      <c r="T30" s="1725" t="s">
        <v>28</v>
      </c>
      <c r="U30" s="1726">
        <f t="shared" si="13"/>
        <v>100</v>
      </c>
      <c r="V30" s="1725" t="s">
        <v>28</v>
      </c>
      <c r="W30" s="1726">
        <f t="shared" si="14"/>
        <v>100</v>
      </c>
      <c r="X30" s="1666"/>
      <c r="Y30" s="3703"/>
      <c r="Z30" s="1727">
        <f t="shared" si="15"/>
        <v>111</v>
      </c>
      <c r="AA30" s="1728">
        <f t="shared" si="3"/>
        <v>1</v>
      </c>
      <c r="AB30" s="1728">
        <f t="shared" si="4"/>
        <v>1</v>
      </c>
      <c r="AC30" s="1728">
        <f t="shared" si="5"/>
        <v>1</v>
      </c>
    </row>
    <row r="31" spans="1:29" ht="15.75"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0"/>
      <c r="M31" s="2996"/>
      <c r="N31" s="2996"/>
      <c r="O31" s="2996"/>
      <c r="P31" s="3701"/>
      <c r="Q31" s="1616">
        <f t="shared" si="11"/>
        <v>111</v>
      </c>
      <c r="R31" s="1725" t="s">
        <v>28</v>
      </c>
      <c r="S31" s="1726">
        <f t="shared" si="12"/>
        <v>100</v>
      </c>
      <c r="T31" s="1725" t="s">
        <v>28</v>
      </c>
      <c r="U31" s="1726">
        <f t="shared" si="13"/>
        <v>100</v>
      </c>
      <c r="V31" s="1725" t="s">
        <v>28</v>
      </c>
      <c r="W31" s="1726">
        <f t="shared" si="14"/>
        <v>100</v>
      </c>
      <c r="X31" s="1666"/>
      <c r="Y31" s="3703"/>
      <c r="Z31" s="1727">
        <f t="shared" si="15"/>
        <v>111</v>
      </c>
      <c r="AA31" s="1728">
        <f t="shared" si="3"/>
        <v>1</v>
      </c>
      <c r="AB31" s="1728">
        <f t="shared" si="4"/>
        <v>1</v>
      </c>
      <c r="AC31" s="1728">
        <f t="shared" si="5"/>
        <v>1</v>
      </c>
    </row>
    <row r="32" spans="1:29" ht="15">
      <c r="A32" s="1717" t="s">
        <v>2273</v>
      </c>
      <c r="B32" s="1687" t="s">
        <v>2274</v>
      </c>
      <c r="C32" s="1761" t="s">
        <v>3101</v>
      </c>
      <c r="D32" s="1762">
        <v>100</v>
      </c>
      <c r="E32" s="1761" t="s">
        <v>3101</v>
      </c>
      <c r="F32" s="1754">
        <f>SUMIF(100:100,E32,101:101)-SUMIF(100:100,C32,101:101)+100</f>
        <v>100</v>
      </c>
      <c r="G32" s="1761" t="s">
        <v>3101</v>
      </c>
      <c r="H32" s="1762">
        <f>SUMIF(100:100,G32,101:101)-SUMIF(100:100,C32,101:101)+100</f>
        <v>100</v>
      </c>
      <c r="I32" s="1761" t="s">
        <v>3101</v>
      </c>
      <c r="J32" s="1711">
        <f>SUMIF(100:100,I32,101:101)-SUMIF(100:100,C32,101:101)+100</f>
        <v>100</v>
      </c>
      <c r="K32" s="1700">
        <v>0.5</v>
      </c>
      <c r="L32" s="3000"/>
      <c r="M32" s="2996"/>
      <c r="N32" s="2996"/>
      <c r="O32" s="2996"/>
      <c r="P32" s="3704" t="s">
        <v>2275</v>
      </c>
      <c r="Q32" s="1616" t="str">
        <f t="shared" si="11"/>
        <v>建筑类型</v>
      </c>
      <c r="R32" s="1725" t="s">
        <v>28</v>
      </c>
      <c r="S32" s="1726">
        <f t="shared" si="12"/>
        <v>100</v>
      </c>
      <c r="T32" s="1725" t="s">
        <v>28</v>
      </c>
      <c r="U32" s="1726">
        <f t="shared" si="13"/>
        <v>100</v>
      </c>
      <c r="V32" s="1725" t="s">
        <v>28</v>
      </c>
      <c r="W32" s="1726">
        <f t="shared" si="14"/>
        <v>100</v>
      </c>
      <c r="X32" s="1666"/>
      <c r="Y32" s="3707" t="s">
        <v>2275</v>
      </c>
      <c r="Z32" s="1727" t="str">
        <f t="shared" si="15"/>
        <v>建筑类型</v>
      </c>
      <c r="AA32" s="1728">
        <f t="shared" si="3"/>
        <v>1</v>
      </c>
      <c r="AB32" s="1728">
        <f t="shared" si="4"/>
        <v>1</v>
      </c>
      <c r="AC32" s="1728">
        <f t="shared" si="5"/>
        <v>1</v>
      </c>
    </row>
    <row r="33" spans="1:29" s="1770" customFormat="1" ht="15">
      <c r="A33" s="1763"/>
      <c r="B33" s="1695" t="s">
        <v>2276</v>
      </c>
      <c r="C33" s="1764">
        <f>'数据-取费表'!B5</f>
        <v>64.19</v>
      </c>
      <c r="D33" s="1697">
        <v>100</v>
      </c>
      <c r="E33" s="1704">
        <f>Sheet3!L36</f>
        <v>60.62</v>
      </c>
      <c r="F33" s="1699">
        <f>LOOKUP(E33,103:103,104:104)-LOOKUP(C33,103:103,104:104)+100</f>
        <v>100</v>
      </c>
      <c r="G33" s="1703">
        <v>98.33</v>
      </c>
      <c r="H33" s="1697">
        <f>LOOKUP(G33,103:103,104:104)-LOOKUP(C33,103:103,104:104)+100</f>
        <v>99</v>
      </c>
      <c r="I33" s="1704">
        <v>55.11</v>
      </c>
      <c r="J33" s="1697">
        <f>LOOKUP(I33,103:103,104:104)-LOOKUP(C33,103:103,104:104)+100</f>
        <v>100</v>
      </c>
      <c r="K33" s="1709"/>
      <c r="L33" s="2999"/>
      <c r="M33" s="2058"/>
      <c r="N33" s="2058"/>
      <c r="O33" s="2058"/>
      <c r="P33" s="3705"/>
      <c r="Q33" s="1765" t="str">
        <f t="shared" si="11"/>
        <v>项目建筑规模</v>
      </c>
      <c r="R33" s="1766" t="s">
        <v>28</v>
      </c>
      <c r="S33" s="1767">
        <f t="shared" si="12"/>
        <v>100</v>
      </c>
      <c r="T33" s="1766" t="s">
        <v>28</v>
      </c>
      <c r="U33" s="1767">
        <f t="shared" si="13"/>
        <v>99</v>
      </c>
      <c r="V33" s="1766" t="s">
        <v>28</v>
      </c>
      <c r="W33" s="1767">
        <f t="shared" si="14"/>
        <v>100</v>
      </c>
      <c r="X33" s="1768"/>
      <c r="Y33" s="3707"/>
      <c r="Z33" s="1769" t="str">
        <f t="shared" si="15"/>
        <v>项目建筑规模</v>
      </c>
      <c r="AA33" s="1728">
        <f t="shared" si="3"/>
        <v>1</v>
      </c>
      <c r="AB33" s="1728">
        <f t="shared" si="4"/>
        <v>1.0101010101010102</v>
      </c>
      <c r="AC33" s="1728">
        <f t="shared" si="5"/>
        <v>1</v>
      </c>
    </row>
    <row r="34" spans="1:29" ht="15">
      <c r="A34" s="1771"/>
      <c r="B34" s="1695" t="s">
        <v>2277</v>
      </c>
      <c r="C34" s="1772" t="s">
        <v>2942</v>
      </c>
      <c r="D34" s="1711">
        <v>100</v>
      </c>
      <c r="E34" s="1772" t="s">
        <v>2942</v>
      </c>
      <c r="F34" s="1754">
        <f>SUMIF(105:105,E34,106:106)-SUMIF(105:105,C34,106:106)+100</f>
        <v>100</v>
      </c>
      <c r="G34" s="1772" t="s">
        <v>2942</v>
      </c>
      <c r="H34" s="1711">
        <f>SUMIF(105:105,G34,106:106)-SUMIF(105:105,C34,106:106)+100</f>
        <v>100</v>
      </c>
      <c r="I34" s="1773" t="s">
        <v>2942</v>
      </c>
      <c r="J34" s="1711">
        <f>SUMIF(105:105,I34,106:106)-SUMIF(105:105,C34,106:106)+100</f>
        <v>100</v>
      </c>
      <c r="K34" s="1700">
        <v>2</v>
      </c>
      <c r="L34" s="3000"/>
      <c r="M34" s="2996"/>
      <c r="N34" s="2996"/>
      <c r="O34" s="2996"/>
      <c r="P34" s="3705"/>
      <c r="Q34" s="1616" t="str">
        <f t="shared" si="11"/>
        <v>建筑结构</v>
      </c>
      <c r="R34" s="1725" t="s">
        <v>28</v>
      </c>
      <c r="S34" s="1726">
        <f t="shared" si="12"/>
        <v>100</v>
      </c>
      <c r="T34" s="1725" t="s">
        <v>28</v>
      </c>
      <c r="U34" s="1726">
        <f t="shared" si="13"/>
        <v>100</v>
      </c>
      <c r="V34" s="1725" t="s">
        <v>28</v>
      </c>
      <c r="W34" s="1726">
        <f t="shared" si="14"/>
        <v>100</v>
      </c>
      <c r="X34" s="1666"/>
      <c r="Y34" s="3707"/>
      <c r="Z34" s="1727" t="str">
        <f t="shared" si="15"/>
        <v>建筑结构</v>
      </c>
      <c r="AA34" s="1728">
        <f t="shared" si="3"/>
        <v>1</v>
      </c>
      <c r="AB34" s="1728">
        <f t="shared" si="4"/>
        <v>1</v>
      </c>
      <c r="AC34" s="1728">
        <f t="shared" si="5"/>
        <v>1</v>
      </c>
    </row>
    <row r="35" spans="1:29" ht="15">
      <c r="A35" s="1771"/>
      <c r="B35" s="1695" t="s">
        <v>2278</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0"/>
      <c r="M35" s="2996"/>
      <c r="N35" s="2996"/>
      <c r="O35" s="2996"/>
      <c r="P35" s="3705"/>
      <c r="Q35" s="1616" t="str">
        <f t="shared" si="11"/>
        <v>建筑品质</v>
      </c>
      <c r="R35" s="1725" t="s">
        <v>28</v>
      </c>
      <c r="S35" s="1726">
        <f t="shared" si="12"/>
        <v>100</v>
      </c>
      <c r="T35" s="1725" t="s">
        <v>28</v>
      </c>
      <c r="U35" s="1726">
        <f t="shared" si="13"/>
        <v>100</v>
      </c>
      <c r="V35" s="1725" t="s">
        <v>28</v>
      </c>
      <c r="W35" s="1726">
        <f t="shared" si="14"/>
        <v>100</v>
      </c>
      <c r="X35" s="1666"/>
      <c r="Y35" s="3707"/>
      <c r="Z35" s="1727" t="str">
        <f t="shared" si="15"/>
        <v>建筑品质</v>
      </c>
      <c r="AA35" s="1728">
        <f t="shared" si="3"/>
        <v>1</v>
      </c>
      <c r="AB35" s="1728">
        <f t="shared" si="4"/>
        <v>1</v>
      </c>
      <c r="AC35" s="1728">
        <f t="shared" si="5"/>
        <v>1</v>
      </c>
    </row>
    <row r="36" spans="1:29" ht="15">
      <c r="A36" s="1771"/>
      <c r="B36" s="1695" t="s">
        <v>2279</v>
      </c>
      <c r="C36" s="1755" t="s">
        <v>2943</v>
      </c>
      <c r="D36" s="1711">
        <v>100</v>
      </c>
      <c r="E36" s="1755" t="s">
        <v>2943</v>
      </c>
      <c r="F36" s="1754">
        <f>SUMIF(109:109,E36,110:110)-SUMIF(109:109,C36,110:110)+100</f>
        <v>100</v>
      </c>
      <c r="G36" s="1755" t="s">
        <v>2943</v>
      </c>
      <c r="H36" s="1711">
        <f>SUMIF(109:109,G36,110:110)-SUMIF(109:109,C36,110:110)+100</f>
        <v>100</v>
      </c>
      <c r="I36" s="1755" t="s">
        <v>2943</v>
      </c>
      <c r="J36" s="1711">
        <f>SUMIF(109:109,I36,110:110)-SUMIF(109:109,C36,110:110)+100</f>
        <v>100</v>
      </c>
      <c r="K36" s="1700"/>
      <c r="L36" s="3000"/>
      <c r="M36" s="2996"/>
      <c r="N36" s="2996"/>
      <c r="O36" s="2996"/>
      <c r="P36" s="3705"/>
      <c r="Q36" s="1616" t="str">
        <f t="shared" si="11"/>
        <v>公共部分装修</v>
      </c>
      <c r="R36" s="1725" t="s">
        <v>28</v>
      </c>
      <c r="S36" s="1726">
        <f t="shared" si="12"/>
        <v>100</v>
      </c>
      <c r="T36" s="1725" t="s">
        <v>28</v>
      </c>
      <c r="U36" s="1726">
        <f t="shared" si="13"/>
        <v>100</v>
      </c>
      <c r="V36" s="1725" t="s">
        <v>28</v>
      </c>
      <c r="W36" s="1726">
        <f t="shared" si="14"/>
        <v>100</v>
      </c>
      <c r="X36" s="1666"/>
      <c r="Y36" s="3707"/>
      <c r="Z36" s="1727" t="str">
        <f t="shared" si="15"/>
        <v>公共部分装修</v>
      </c>
      <c r="AA36" s="1728">
        <f t="shared" si="3"/>
        <v>1</v>
      </c>
      <c r="AB36" s="1728">
        <f t="shared" si="4"/>
        <v>1</v>
      </c>
      <c r="AC36" s="1728">
        <f t="shared" si="5"/>
        <v>1</v>
      </c>
    </row>
    <row r="37" spans="1:29" s="1685" customFormat="1" ht="15">
      <c r="A37" s="1774"/>
      <c r="B37" s="1695" t="s">
        <v>2280</v>
      </c>
      <c r="C37" s="1775">
        <f>'数据-取费表'!E20</f>
        <v>0.79</v>
      </c>
      <c r="D37" s="1697">
        <v>100</v>
      </c>
      <c r="E37" s="1776">
        <f>(50-10)/50</f>
        <v>0.8</v>
      </c>
      <c r="F37" s="1699">
        <f>LOOKUP(E37,112:112,113:113)-LOOKUP(C37,112:112,113:113)+100</f>
        <v>101</v>
      </c>
      <c r="G37" s="1777">
        <f>C37</f>
        <v>0.79</v>
      </c>
      <c r="H37" s="1697">
        <f>LOOKUP(G37,112:112,113:113)-LOOKUP(C37,112:112,113:113)+100</f>
        <v>100</v>
      </c>
      <c r="I37" s="1776">
        <f>C37</f>
        <v>0.79</v>
      </c>
      <c r="J37" s="1697">
        <f>LOOKUP(I37,112:112,113:113)-LOOKUP(C37,112:112,113:113)+100</f>
        <v>100</v>
      </c>
      <c r="K37" s="1700">
        <v>1</v>
      </c>
      <c r="L37" s="2995"/>
      <c r="M37" s="2968"/>
      <c r="N37" s="2968"/>
      <c r="O37" s="2968"/>
      <c r="P37" s="3705"/>
      <c r="Q37" s="1635" t="str">
        <f t="shared" si="11"/>
        <v>成新度</v>
      </c>
      <c r="R37" s="1681" t="s">
        <v>28</v>
      </c>
      <c r="S37" s="1682">
        <f t="shared" si="12"/>
        <v>101</v>
      </c>
      <c r="T37" s="1681" t="s">
        <v>28</v>
      </c>
      <c r="U37" s="1682">
        <f t="shared" si="13"/>
        <v>100</v>
      </c>
      <c r="V37" s="1681" t="s">
        <v>28</v>
      </c>
      <c r="W37" s="1682">
        <f t="shared" si="14"/>
        <v>100</v>
      </c>
      <c r="X37" s="1683"/>
      <c r="Y37" s="3707"/>
      <c r="Z37" s="1693" t="str">
        <f t="shared" si="15"/>
        <v>成新度</v>
      </c>
      <c r="AA37" s="1684">
        <f t="shared" si="3"/>
        <v>0.99009900990099009</v>
      </c>
      <c r="AB37" s="1684">
        <f t="shared" si="4"/>
        <v>1</v>
      </c>
      <c r="AC37" s="1684">
        <f t="shared" si="5"/>
        <v>1</v>
      </c>
    </row>
    <row r="38" spans="1:29" ht="15">
      <c r="A38" s="1771"/>
      <c r="B38" s="1695" t="s">
        <v>2281</v>
      </c>
      <c r="C38" s="1755" t="s">
        <v>3099</v>
      </c>
      <c r="D38" s="1711">
        <v>100</v>
      </c>
      <c r="E38" s="1755" t="s">
        <v>3099</v>
      </c>
      <c r="F38" s="1754">
        <f>SUMIF(114:114,E38,115:115)-SUMIF(114:114,C38,115:115)+100</f>
        <v>100</v>
      </c>
      <c r="G38" s="1755" t="s">
        <v>3099</v>
      </c>
      <c r="H38" s="1711">
        <f>SUMIF(114:114,G38,115:115)-SUMIF(114:114,C38,115:115)+100</f>
        <v>100</v>
      </c>
      <c r="I38" s="1755" t="s">
        <v>3099</v>
      </c>
      <c r="J38" s="1711">
        <f>SUMIF(114:114,I38,115:115)-SUMIF(114:114,C38,115:115)+100</f>
        <v>100</v>
      </c>
      <c r="K38" s="1700"/>
      <c r="L38" s="3000"/>
      <c r="M38" s="2996"/>
      <c r="N38" s="2996"/>
      <c r="O38" s="2996"/>
      <c r="P38" s="3705" t="s">
        <v>2275</v>
      </c>
      <c r="Q38" s="1616" t="str">
        <f t="shared" si="11"/>
        <v>物业管理</v>
      </c>
      <c r="R38" s="1725" t="s">
        <v>28</v>
      </c>
      <c r="S38" s="1726">
        <f t="shared" si="12"/>
        <v>100</v>
      </c>
      <c r="T38" s="1725" t="s">
        <v>28</v>
      </c>
      <c r="U38" s="1726">
        <f t="shared" si="13"/>
        <v>100</v>
      </c>
      <c r="V38" s="1725" t="s">
        <v>28</v>
      </c>
      <c r="W38" s="1726">
        <f t="shared" si="14"/>
        <v>100</v>
      </c>
      <c r="X38" s="1666"/>
      <c r="Y38" s="3707" t="s">
        <v>2275</v>
      </c>
      <c r="Z38" s="1727" t="str">
        <f t="shared" si="15"/>
        <v>物业管理</v>
      </c>
      <c r="AA38" s="1728">
        <f t="shared" si="3"/>
        <v>1</v>
      </c>
      <c r="AB38" s="1728">
        <f t="shared" si="4"/>
        <v>1</v>
      </c>
      <c r="AC38" s="1728">
        <f t="shared" si="5"/>
        <v>1</v>
      </c>
    </row>
    <row r="39" spans="1:29" ht="15">
      <c r="A39" s="1771"/>
      <c r="B39" s="1695" t="s">
        <v>2282</v>
      </c>
      <c r="C39" s="1755" t="s">
        <v>2936</v>
      </c>
      <c r="D39" s="1711">
        <v>100</v>
      </c>
      <c r="E39" s="1755" t="s">
        <v>2936</v>
      </c>
      <c r="F39" s="1754">
        <f>SUMIF(116:116,E39,117:117)-SUMIF(116:116,C39,117:117)+100</f>
        <v>100</v>
      </c>
      <c r="G39" s="1755" t="s">
        <v>2936</v>
      </c>
      <c r="H39" s="1711">
        <f>SUMIF(116:116,G39,117:117)-SUMIF(116:116,C39,117:117)+100</f>
        <v>100</v>
      </c>
      <c r="I39" s="1755" t="s">
        <v>2936</v>
      </c>
      <c r="J39" s="1711">
        <f>SUMIF(116:116,I39,117:117)-SUMIF(116:116,C39,117:117)+100</f>
        <v>100</v>
      </c>
      <c r="K39" s="1700"/>
      <c r="L39" s="3000"/>
      <c r="M39" s="2996"/>
      <c r="N39" s="2996"/>
      <c r="O39" s="2996"/>
      <c r="P39" s="3705"/>
      <c r="Q39" s="1616" t="str">
        <f t="shared" si="11"/>
        <v>市政基础设施</v>
      </c>
      <c r="R39" s="1725" t="s">
        <v>28</v>
      </c>
      <c r="S39" s="1726">
        <f t="shared" si="12"/>
        <v>100</v>
      </c>
      <c r="T39" s="1725" t="s">
        <v>28</v>
      </c>
      <c r="U39" s="1726">
        <f t="shared" si="13"/>
        <v>100</v>
      </c>
      <c r="V39" s="1725" t="s">
        <v>28</v>
      </c>
      <c r="W39" s="1726">
        <f t="shared" si="14"/>
        <v>100</v>
      </c>
      <c r="X39" s="1666"/>
      <c r="Y39" s="3707"/>
      <c r="Z39" s="1727" t="str">
        <f t="shared" si="15"/>
        <v>市政基础设施</v>
      </c>
      <c r="AA39" s="1728">
        <f t="shared" si="3"/>
        <v>1</v>
      </c>
      <c r="AB39" s="1728">
        <f t="shared" si="4"/>
        <v>1</v>
      </c>
      <c r="AC39" s="1728">
        <f t="shared" si="5"/>
        <v>1</v>
      </c>
    </row>
    <row r="40" spans="1:29" ht="15">
      <c r="A40" s="1771"/>
      <c r="B40" s="1695" t="s">
        <v>2283</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0"/>
      <c r="M40" s="2996"/>
      <c r="N40" s="2996"/>
      <c r="O40" s="2996"/>
      <c r="P40" s="3705"/>
      <c r="Q40" s="1616" t="str">
        <f t="shared" si="11"/>
        <v>房型</v>
      </c>
      <c r="R40" s="1725" t="s">
        <v>28</v>
      </c>
      <c r="S40" s="1726">
        <f t="shared" si="12"/>
        <v>100</v>
      </c>
      <c r="T40" s="1725" t="s">
        <v>28</v>
      </c>
      <c r="U40" s="1726">
        <f t="shared" si="13"/>
        <v>100</v>
      </c>
      <c r="V40" s="1725" t="s">
        <v>28</v>
      </c>
      <c r="W40" s="1726">
        <f t="shared" si="14"/>
        <v>100</v>
      </c>
      <c r="X40" s="1666"/>
      <c r="Y40" s="3707"/>
      <c r="Z40" s="1727" t="str">
        <f t="shared" si="15"/>
        <v>房型</v>
      </c>
      <c r="AA40" s="1728">
        <f t="shared" si="3"/>
        <v>1</v>
      </c>
      <c r="AB40" s="1728">
        <f t="shared" si="4"/>
        <v>1</v>
      </c>
      <c r="AC40" s="1728">
        <f t="shared" si="5"/>
        <v>1</v>
      </c>
    </row>
    <row r="41" spans="1:29" s="1770" customFormat="1" ht="28.5">
      <c r="A41" s="1763"/>
      <c r="B41" s="1695" t="s">
        <v>2284</v>
      </c>
      <c r="C41" s="1764"/>
      <c r="D41" s="1697">
        <v>100</v>
      </c>
      <c r="E41" s="1704"/>
      <c r="F41" s="1699">
        <f>SUMIF(120:120,E41,121:121)-SUMIF(120:120,C41,121:121)+100</f>
        <v>100</v>
      </c>
      <c r="G41" s="1703"/>
      <c r="H41" s="1697">
        <f>SUMIF(120:120,G41,121:121)-SUMIF(120:120,C41,121:121)+100</f>
        <v>100</v>
      </c>
      <c r="I41" s="1778"/>
      <c r="J41" s="1711">
        <f>SUMIF(120:120,I41,121:121)-SUMIF(120:120,C41,121:121)+100</f>
        <v>100</v>
      </c>
      <c r="K41" s="1709"/>
      <c r="L41" s="2999"/>
      <c r="M41" s="2058"/>
      <c r="N41" s="2058"/>
      <c r="O41" s="2058"/>
      <c r="P41" s="3705"/>
      <c r="Q41" s="1765" t="str">
        <f t="shared" si="11"/>
        <v>单套/主力户型建筑面积</v>
      </c>
      <c r="R41" s="1766" t="s">
        <v>28</v>
      </c>
      <c r="S41" s="1767">
        <f t="shared" si="12"/>
        <v>100</v>
      </c>
      <c r="T41" s="1766" t="s">
        <v>28</v>
      </c>
      <c r="U41" s="1767">
        <f t="shared" si="13"/>
        <v>100</v>
      </c>
      <c r="V41" s="1766" t="s">
        <v>28</v>
      </c>
      <c r="W41" s="1767">
        <f t="shared" si="14"/>
        <v>100</v>
      </c>
      <c r="X41" s="1768"/>
      <c r="Y41" s="3707"/>
      <c r="Z41" s="1769" t="str">
        <f t="shared" si="15"/>
        <v>单套/主力户型建筑面积</v>
      </c>
      <c r="AA41" s="1728">
        <f t="shared" si="3"/>
        <v>1</v>
      </c>
      <c r="AB41" s="1728">
        <f t="shared" si="4"/>
        <v>1</v>
      </c>
      <c r="AC41" s="1728">
        <f t="shared" si="5"/>
        <v>1</v>
      </c>
    </row>
    <row r="42" spans="1:29" ht="15">
      <c r="A42" s="1771"/>
      <c r="B42" s="1695" t="s">
        <v>2285</v>
      </c>
      <c r="C42" s="1755" t="s">
        <v>2943</v>
      </c>
      <c r="D42" s="1711">
        <v>100</v>
      </c>
      <c r="E42" s="1753" t="s">
        <v>2943</v>
      </c>
      <c r="F42" s="1754">
        <f>SUMIF(122:122,E42,123:123)-SUMIF(122:122,C42,123:123)+100</f>
        <v>100</v>
      </c>
      <c r="G42" s="1755" t="s">
        <v>2943</v>
      </c>
      <c r="H42" s="1711">
        <f>SUMIF(122:122,G42,123:123)-SUMIF(122:122,C42,123:123)+100</f>
        <v>100</v>
      </c>
      <c r="I42" s="1753" t="s">
        <v>2943</v>
      </c>
      <c r="J42" s="1711">
        <f>SUMIF(122:122,I42,123:123)-SUMIF(122:122,C42,123:123)+100</f>
        <v>100</v>
      </c>
      <c r="K42" s="1700">
        <v>1</v>
      </c>
      <c r="L42" s="3000"/>
      <c r="M42" s="2996"/>
      <c r="N42" s="2996"/>
      <c r="O42" s="2996"/>
      <c r="P42" s="3705"/>
      <c r="Q42" s="1616" t="str">
        <f t="shared" si="11"/>
        <v>内部装修</v>
      </c>
      <c r="R42" s="1725" t="s">
        <v>28</v>
      </c>
      <c r="S42" s="1726">
        <f t="shared" si="12"/>
        <v>100</v>
      </c>
      <c r="T42" s="1725" t="s">
        <v>28</v>
      </c>
      <c r="U42" s="1726">
        <f t="shared" si="13"/>
        <v>100</v>
      </c>
      <c r="V42" s="1725" t="s">
        <v>28</v>
      </c>
      <c r="W42" s="1726">
        <f t="shared" si="14"/>
        <v>100</v>
      </c>
      <c r="X42" s="1666"/>
      <c r="Y42" s="3707"/>
      <c r="Z42" s="1727" t="str">
        <f t="shared" si="15"/>
        <v>内部装修</v>
      </c>
      <c r="AA42" s="1728">
        <f t="shared" si="3"/>
        <v>1</v>
      </c>
      <c r="AB42" s="1728">
        <f t="shared" si="4"/>
        <v>1</v>
      </c>
      <c r="AC42" s="1728">
        <f t="shared" si="5"/>
        <v>1</v>
      </c>
    </row>
    <row r="43" spans="1:29" ht="15">
      <c r="A43" s="1771"/>
      <c r="B43" s="1695" t="s">
        <v>2286</v>
      </c>
      <c r="C43" s="1755" t="s">
        <v>30</v>
      </c>
      <c r="D43" s="1711">
        <v>100</v>
      </c>
      <c r="E43" s="1755" t="s">
        <v>30</v>
      </c>
      <c r="F43" s="1754">
        <f>SUMIF(124:124,E43,125:125)-SUMIF(124:124,C43,125:125)+100</f>
        <v>100</v>
      </c>
      <c r="G43" s="1755" t="s">
        <v>30</v>
      </c>
      <c r="H43" s="1711">
        <f>SUMIF(124:124,G43,125:125)-SUMIF(124:124,C43,125:125)+100</f>
        <v>100</v>
      </c>
      <c r="I43" s="1755" t="s">
        <v>30</v>
      </c>
      <c r="J43" s="1711">
        <f>SUMIF(124:124,I43,125:125)-SUMIF(124:124,C43,125:125)+100</f>
        <v>100</v>
      </c>
      <c r="K43" s="1700"/>
      <c r="L43" s="3000"/>
      <c r="M43" s="2996"/>
      <c r="N43" s="2996"/>
      <c r="O43" s="2996"/>
      <c r="P43" s="3705"/>
      <c r="Q43" s="1616" t="str">
        <f t="shared" si="11"/>
        <v>内部装修维护情况</v>
      </c>
      <c r="R43" s="1725" t="s">
        <v>28</v>
      </c>
      <c r="S43" s="1726">
        <f t="shared" si="12"/>
        <v>100</v>
      </c>
      <c r="T43" s="1725" t="s">
        <v>28</v>
      </c>
      <c r="U43" s="1726">
        <f t="shared" si="13"/>
        <v>100</v>
      </c>
      <c r="V43" s="1725" t="s">
        <v>28</v>
      </c>
      <c r="W43" s="1726">
        <f t="shared" si="14"/>
        <v>100</v>
      </c>
      <c r="X43" s="1666"/>
      <c r="Y43" s="3707"/>
      <c r="Z43" s="1727" t="str">
        <f t="shared" si="15"/>
        <v>内部装修维护情况</v>
      </c>
      <c r="AA43" s="1728">
        <f t="shared" si="3"/>
        <v>1</v>
      </c>
      <c r="AB43" s="1728">
        <f t="shared" si="4"/>
        <v>1</v>
      </c>
      <c r="AC43" s="1728">
        <f t="shared" si="5"/>
        <v>1</v>
      </c>
    </row>
    <row r="44" spans="1:29" s="1685" customFormat="1" ht="15">
      <c r="A44" s="1774"/>
      <c r="B44" s="3183" t="s">
        <v>3113</v>
      </c>
      <c r="C44" s="3397" t="s">
        <v>3704</v>
      </c>
      <c r="D44" s="1697">
        <v>100</v>
      </c>
      <c r="E44" s="3252" t="s">
        <v>3704</v>
      </c>
      <c r="F44" s="1699">
        <f>SUMIF(126:126,E44,127:127)-SUMIF(126:126,C44,127:127)+100</f>
        <v>100</v>
      </c>
      <c r="G44" s="3252" t="s">
        <v>3704</v>
      </c>
      <c r="H44" s="1697">
        <f>SUMIF(126:126,G44,127:127)-SUMIF(126:126,C44,127:127)+100</f>
        <v>100</v>
      </c>
      <c r="I44" s="3252" t="s">
        <v>3704</v>
      </c>
      <c r="J44" s="1697">
        <f>SUMIF(126:126,I44,127:127)-SUMIF(126:126,C44,127:127)+100</f>
        <v>100</v>
      </c>
      <c r="K44" s="1709"/>
      <c r="L44" s="2995"/>
      <c r="M44" s="2968"/>
      <c r="N44" s="2968"/>
      <c r="O44" s="2968"/>
      <c r="P44" s="3705"/>
      <c r="Q44" s="1635" t="str">
        <f t="shared" si="11"/>
        <v>电梯</v>
      </c>
      <c r="R44" s="1681" t="s">
        <v>28</v>
      </c>
      <c r="S44" s="1682">
        <f t="shared" si="12"/>
        <v>100</v>
      </c>
      <c r="T44" s="1681" t="s">
        <v>28</v>
      </c>
      <c r="U44" s="1682">
        <f t="shared" si="13"/>
        <v>100</v>
      </c>
      <c r="V44" s="1681" t="s">
        <v>28</v>
      </c>
      <c r="W44" s="1682">
        <f t="shared" si="14"/>
        <v>100</v>
      </c>
      <c r="X44" s="1683"/>
      <c r="Y44" s="3707"/>
      <c r="Z44" s="1693" t="str">
        <f t="shared" si="15"/>
        <v>电梯</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0"/>
      <c r="M45" s="2996"/>
      <c r="N45" s="2996"/>
      <c r="O45" s="2996"/>
      <c r="P45" s="3705"/>
      <c r="Q45" s="1616">
        <f t="shared" si="11"/>
        <v>111</v>
      </c>
      <c r="R45" s="1725" t="s">
        <v>28</v>
      </c>
      <c r="S45" s="1726">
        <f t="shared" si="12"/>
        <v>100</v>
      </c>
      <c r="T45" s="1725" t="s">
        <v>28</v>
      </c>
      <c r="U45" s="1726">
        <f t="shared" si="13"/>
        <v>100</v>
      </c>
      <c r="V45" s="1725" t="s">
        <v>28</v>
      </c>
      <c r="W45" s="1726">
        <f t="shared" si="14"/>
        <v>100</v>
      </c>
      <c r="X45" s="1666"/>
      <c r="Y45" s="3707"/>
      <c r="Z45" s="1727">
        <f t="shared" si="15"/>
        <v>111</v>
      </c>
      <c r="AA45" s="1728">
        <f t="shared" si="3"/>
        <v>1</v>
      </c>
      <c r="AB45" s="1728">
        <f t="shared" si="4"/>
        <v>1</v>
      </c>
      <c r="AC45" s="1728">
        <f t="shared" si="5"/>
        <v>1</v>
      </c>
    </row>
    <row r="46" spans="1:29" ht="15.75" thickBot="1">
      <c r="A46" s="1779"/>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0"/>
      <c r="M46" s="2996"/>
      <c r="N46" s="2996"/>
      <c r="O46" s="2996"/>
      <c r="P46" s="3706"/>
      <c r="Q46" s="1616">
        <f t="shared" si="11"/>
        <v>111</v>
      </c>
      <c r="R46" s="1725" t="s">
        <v>27</v>
      </c>
      <c r="S46" s="1726">
        <f t="shared" si="12"/>
        <v>100</v>
      </c>
      <c r="T46" s="1725" t="s">
        <v>27</v>
      </c>
      <c r="U46" s="1726">
        <f t="shared" si="13"/>
        <v>100</v>
      </c>
      <c r="V46" s="1725" t="s">
        <v>27</v>
      </c>
      <c r="W46" s="1726">
        <f t="shared" si="14"/>
        <v>100</v>
      </c>
      <c r="X46" s="1666"/>
      <c r="Y46" s="3708"/>
      <c r="Z46" s="1727">
        <f t="shared" si="15"/>
        <v>111</v>
      </c>
      <c r="AA46" s="1728">
        <f t="shared" si="3"/>
        <v>1</v>
      </c>
      <c r="AB46" s="1728">
        <f t="shared" si="4"/>
        <v>1</v>
      </c>
      <c r="AC46" s="1728">
        <f t="shared" si="5"/>
        <v>1</v>
      </c>
    </row>
    <row r="47" spans="1:29" ht="15">
      <c r="A47" s="1780" t="s">
        <v>2287</v>
      </c>
      <c r="B47" s="1781"/>
      <c r="C47" s="1782" t="s">
        <v>26</v>
      </c>
      <c r="D47" s="1783"/>
      <c r="E47" s="1784">
        <f>Sheet3!R36</f>
        <v>6434</v>
      </c>
      <c r="F47" s="1785"/>
      <c r="G47" s="1786">
        <v>6204</v>
      </c>
      <c r="H47" s="1787"/>
      <c r="I47" s="1784">
        <v>6351</v>
      </c>
      <c r="J47" s="1787"/>
      <c r="K47" s="1788"/>
      <c r="L47" s="3001"/>
      <c r="N47" s="2996"/>
      <c r="P47" s="3699" t="str">
        <f>A47</f>
        <v>成交单价（元/平方米）</v>
      </c>
      <c r="Q47" s="3699"/>
      <c r="R47" s="3695">
        <f>E47</f>
        <v>6434</v>
      </c>
      <c r="S47" s="3695"/>
      <c r="T47" s="3695">
        <f>G47</f>
        <v>6204</v>
      </c>
      <c r="U47" s="3695"/>
      <c r="V47" s="3695">
        <f>I47</f>
        <v>6351</v>
      </c>
      <c r="W47" s="3695"/>
      <c r="X47" s="1790"/>
      <c r="Y47" s="1791"/>
      <c r="Z47" s="1790"/>
      <c r="AA47" s="1790"/>
      <c r="AB47" s="1790"/>
      <c r="AC47" s="1790"/>
    </row>
    <row r="48" spans="1:29" ht="15.75" thickBot="1">
      <c r="A48" s="1792" t="s">
        <v>2288</v>
      </c>
      <c r="B48" s="1793"/>
      <c r="C48" s="1794">
        <f>R49</f>
        <v>6251</v>
      </c>
      <c r="D48" s="1795" t="s">
        <v>2744</v>
      </c>
      <c r="E48" s="1796">
        <f>R48</f>
        <v>6132</v>
      </c>
      <c r="F48" s="1797"/>
      <c r="G48" s="1794">
        <f>T48</f>
        <v>6330</v>
      </c>
      <c r="H48" s="1797"/>
      <c r="I48" s="1796">
        <f>V48</f>
        <v>6292</v>
      </c>
      <c r="J48" s="1797"/>
      <c r="K48" s="2510">
        <f>F48+H48+J48</f>
        <v>0</v>
      </c>
      <c r="L48" s="3001"/>
      <c r="P48" s="3699" t="str">
        <f>A48</f>
        <v>比较价值（元/平方米）</v>
      </c>
      <c r="Q48" s="3699"/>
      <c r="R48" s="3695">
        <f>IF(E1="售价",ROUND(PRODUCT(R47,AA7:AA46),0),ROUND(PRODUCT(R47,AA7:AA46),1))</f>
        <v>6132</v>
      </c>
      <c r="S48" s="3695"/>
      <c r="T48" s="3693">
        <f>IF(E1="售价",ROUND(PRODUCT(T47,AB7:AB46),0),ROUND(PRODUCT(T47,AB7:AB46),1))</f>
        <v>6330</v>
      </c>
      <c r="U48" s="3694"/>
      <c r="V48" s="3695">
        <f>IF(E1="售价",ROUND(PRODUCT(V47,AC7:AC46),0),ROUND(PRODUCT(V47,AC7:AC46),1))</f>
        <v>6292</v>
      </c>
      <c r="W48" s="3695"/>
      <c r="X48" s="1790"/>
      <c r="Y48" s="1790"/>
      <c r="Z48" s="1790"/>
      <c r="AA48" s="1790"/>
      <c r="AB48" s="1790"/>
      <c r="AC48" s="1790"/>
    </row>
    <row r="49" spans="1:29" ht="15.75" thickBot="1">
      <c r="A49" s="1798" t="s">
        <v>2289</v>
      </c>
      <c r="B49" s="1799"/>
      <c r="C49" s="1800">
        <f>R49</f>
        <v>6251</v>
      </c>
      <c r="D49" s="1801"/>
      <c r="E49" s="1801"/>
      <c r="F49" s="1801"/>
      <c r="G49" s="1801"/>
      <c r="H49" s="1801"/>
      <c r="I49" s="1801"/>
      <c r="J49" s="1801"/>
      <c r="K49" s="1802"/>
      <c r="L49" s="3001"/>
      <c r="P49" s="3696" t="str">
        <f>A49</f>
        <v>估价对象XX用房的比较价值（楼面单价，元/平方米）</v>
      </c>
      <c r="Q49" s="3697"/>
      <c r="R49" s="3698">
        <f>IF(E1="售价",ROUND(IF(D48="简单平均",AVERAGE(R48:V48),R48*F48+T48*H48+V48*J48),0),ROUND(IF(D48="简单平均",AVERAGE(R48:V48),R48*F48+T48*H48+V48*J48),1))</f>
        <v>6251</v>
      </c>
      <c r="S49" s="3698"/>
      <c r="T49" s="3698"/>
      <c r="U49" s="3698"/>
      <c r="V49" s="3698"/>
      <c r="W49" s="3698"/>
      <c r="X49" s="1790"/>
      <c r="Y49" s="1790"/>
      <c r="Z49" s="1790"/>
      <c r="AA49" s="1790"/>
      <c r="AB49" s="1790"/>
      <c r="AC49" s="1790"/>
    </row>
    <row r="50" spans="1:29">
      <c r="G50" s="3005"/>
    </row>
    <row r="52" spans="1:29" ht="13.5" customHeight="1">
      <c r="C52" s="383" t="s">
        <v>2290</v>
      </c>
      <c r="D52" s="1806"/>
      <c r="E52" s="1807">
        <f>IF(E47&lt;E48,E48/E47-1,E47/E48-1)</f>
        <v>4.9249836921069878E-2</v>
      </c>
      <c r="F52" s="1808" t="str">
        <f>IF(OR(E52&gt;=0.3,E52&lt;=-0.3),"超过30%","")</f>
        <v/>
      </c>
      <c r="G52" s="1807">
        <f>IF(G47&lt;G48,G48/G47-1,G47/G48-1)</f>
        <v>2.0309477756286221E-2</v>
      </c>
      <c r="H52" s="1808" t="str">
        <f>IF(OR(G52&gt;=0.3,G52&lt;=-0.3),"超过30%","")</f>
        <v/>
      </c>
      <c r="I52" s="1807">
        <f>IF(I47&lt;I48,I48/I47-1,I47/I48-1)</f>
        <v>9.3769866497139809E-3</v>
      </c>
      <c r="J52" s="1808" t="str">
        <f>IF(OR(I52&gt;=0.3,I52&lt;=-0.3),"超过30%","")</f>
        <v/>
      </c>
    </row>
    <row r="53" spans="1:29" ht="13.5" customHeight="1">
      <c r="C53" s="383" t="s">
        <v>2291</v>
      </c>
      <c r="D53" s="1809"/>
      <c r="E53" s="1807">
        <f>IF(E48&lt;G48,G48/E48-1,E48/G48-1)</f>
        <v>3.2289628180039109E-2</v>
      </c>
      <c r="F53" s="1808" t="str">
        <f>IF(OR(E53&gt;=0.2,E53&lt;=-0.2),"超过20%","")</f>
        <v/>
      </c>
      <c r="G53" s="1807">
        <f>IF(G48&lt;I48,I48/G48-1,G48/I48-1)</f>
        <v>6.0394151303242438E-3</v>
      </c>
      <c r="H53" s="1808" t="str">
        <f>IF(OR(G53&gt;=0.2,G53&lt;=-0.2),"超过20%","")</f>
        <v/>
      </c>
      <c r="I53" s="1807">
        <f>IF(I48&lt;E48,E48/I48-1,I48/E48-1)</f>
        <v>2.6092628832354858E-2</v>
      </c>
      <c r="J53" s="1808" t="str">
        <f>IF(OR(I53&gt;=0.2,I53&lt;=-0.2),"超过20%","")</f>
        <v/>
      </c>
    </row>
    <row r="54" spans="1:29" s="1812" customFormat="1" ht="13.5" customHeight="1">
      <c r="C54" s="383" t="s">
        <v>2292</v>
      </c>
      <c r="D54" s="1809"/>
      <c r="E54" s="1807">
        <f>IF(E47&lt;G47,G47/E47-1,E47/G47-1)</f>
        <v>3.707285622179235E-2</v>
      </c>
      <c r="F54" s="1808" t="str">
        <f>IF(OR(E54&gt;=0.3,E54&lt;=-0.3),"超过30%","")</f>
        <v/>
      </c>
      <c r="G54" s="1807">
        <f>IF(G47&lt;I47,I47/G47-1,G47/I47-1)</f>
        <v>2.3694390715667257E-2</v>
      </c>
      <c r="H54" s="1808" t="str">
        <f>IF(OR(G54&gt;=0.3,G54&lt;=-0.3),"超过30%","")</f>
        <v/>
      </c>
      <c r="I54" s="1807">
        <f>IF(I47&lt;E47,E47/I47-1,I47/E47-1)</f>
        <v>1.3068808061722503E-2</v>
      </c>
      <c r="J54" s="1808" t="str">
        <f>IF(OR(I54&gt;=0.3,I54&lt;=-0.3),"超过30%","")</f>
        <v/>
      </c>
      <c r="K54" s="3008"/>
      <c r="L54" s="3002"/>
      <c r="P54" s="1811"/>
    </row>
    <row r="55" spans="1:29" s="1812" customFormat="1">
      <c r="B55" s="3006"/>
      <c r="C55" s="3007"/>
      <c r="K55" s="3008"/>
      <c r="L55" s="3002"/>
      <c r="P55" s="1811"/>
    </row>
    <row r="56" spans="1:29">
      <c r="B56" s="3006"/>
      <c r="C56" s="3007"/>
    </row>
    <row r="57" spans="1:29" ht="21.75" thickBot="1">
      <c r="A57" s="1815" t="s">
        <v>2293</v>
      </c>
      <c r="B57" s="1790"/>
      <c r="C57" s="1816"/>
      <c r="D57" s="1816"/>
      <c r="E57" s="1816"/>
      <c r="F57" s="1816"/>
      <c r="G57" s="1816"/>
      <c r="H57" s="1816"/>
      <c r="I57" s="1816"/>
      <c r="J57" s="1816"/>
      <c r="K57" s="1817"/>
      <c r="L57" s="3003"/>
      <c r="M57" s="3004"/>
      <c r="N57" s="3004"/>
      <c r="O57" s="3004"/>
      <c r="P57" s="1819"/>
      <c r="Q57" s="1820"/>
    </row>
    <row r="58" spans="1:29" s="1826" customFormat="1" ht="15">
      <c r="A58" s="1821" t="s">
        <v>2294</v>
      </c>
      <c r="B58" s="1822"/>
      <c r="C58" s="1823" t="str">
        <f>YEAR(C7)&amp;"-"&amp;MONTH(C7)</f>
        <v>2009-7</v>
      </c>
      <c r="D58" s="1824">
        <f>EDATE(C58,-1)</f>
        <v>39965</v>
      </c>
      <c r="E58" s="1824">
        <f t="shared" ref="E58:O58" si="16">EDATE(D58,-1)</f>
        <v>39934</v>
      </c>
      <c r="F58" s="1824">
        <f t="shared" si="16"/>
        <v>39904</v>
      </c>
      <c r="G58" s="1824">
        <f t="shared" si="16"/>
        <v>39873</v>
      </c>
      <c r="H58" s="1824">
        <f t="shared" si="16"/>
        <v>39845</v>
      </c>
      <c r="I58" s="1824">
        <f t="shared" si="16"/>
        <v>39814</v>
      </c>
      <c r="J58" s="1824">
        <f t="shared" si="16"/>
        <v>39783</v>
      </c>
      <c r="K58" s="1824">
        <f t="shared" si="16"/>
        <v>39753</v>
      </c>
      <c r="L58" s="1824">
        <f t="shared" si="16"/>
        <v>39722</v>
      </c>
      <c r="M58" s="1824">
        <f t="shared" si="16"/>
        <v>39692</v>
      </c>
      <c r="N58" s="1824">
        <f t="shared" si="16"/>
        <v>39661</v>
      </c>
      <c r="O58" s="1824">
        <f t="shared" si="16"/>
        <v>39630</v>
      </c>
      <c r="P58" s="1825"/>
    </row>
    <row r="59" spans="1:29" s="1685" customFormat="1" ht="15">
      <c r="A59" s="1827"/>
      <c r="B59" s="1828"/>
      <c r="C59" s="1829">
        <v>100</v>
      </c>
      <c r="D59" s="1830">
        <v>99</v>
      </c>
      <c r="E59" s="1830">
        <v>99</v>
      </c>
      <c r="F59" s="1830">
        <v>99</v>
      </c>
      <c r="G59" s="1830">
        <v>98</v>
      </c>
      <c r="H59" s="1830">
        <v>98</v>
      </c>
      <c r="I59" s="1830">
        <v>98</v>
      </c>
      <c r="J59" s="1830">
        <v>96.5</v>
      </c>
      <c r="K59" s="1830">
        <v>96</v>
      </c>
      <c r="L59" s="1830"/>
      <c r="M59" s="1831"/>
      <c r="N59" s="1830"/>
      <c r="O59" s="1831"/>
      <c r="P59" s="1832"/>
    </row>
    <row r="60" spans="1:29" s="1685" customFormat="1" ht="15.75" thickBot="1">
      <c r="A60" s="1833" t="s">
        <v>2295</v>
      </c>
      <c r="B60" s="1834"/>
      <c r="C60" s="1835"/>
      <c r="D60" s="1836"/>
      <c r="E60" s="1836"/>
      <c r="F60" s="1836"/>
      <c r="G60" s="1836"/>
      <c r="H60" s="1836"/>
      <c r="I60" s="1836"/>
      <c r="J60" s="1836"/>
      <c r="K60" s="1836"/>
      <c r="L60" s="1836"/>
      <c r="M60" s="1837"/>
      <c r="N60" s="1836"/>
      <c r="O60" s="1837"/>
      <c r="P60" s="1832"/>
      <c r="Q60" s="1820"/>
    </row>
    <row r="61" spans="1:29" s="1685" customFormat="1" ht="15">
      <c r="A61" s="1838" t="s">
        <v>2296</v>
      </c>
      <c r="B61" s="1828"/>
      <c r="C61" s="1839" t="s">
        <v>2297</v>
      </c>
      <c r="D61" s="409"/>
      <c r="E61" s="409"/>
      <c r="F61" s="409"/>
      <c r="G61" s="409"/>
      <c r="H61" s="409"/>
      <c r="I61" s="409"/>
      <c r="J61" s="409"/>
      <c r="K61" s="409"/>
      <c r="L61" s="409"/>
      <c r="M61" s="1840"/>
      <c r="N61" s="1841"/>
      <c r="O61" s="1841"/>
      <c r="P61" s="1842"/>
      <c r="Q61" s="1820"/>
    </row>
    <row r="62" spans="1:29" s="1685"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2298</v>
      </c>
      <c r="B63" s="1846" t="s">
        <v>2264</v>
      </c>
      <c r="C63" s="1847" t="str">
        <f>C9</f>
        <v>住宅</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2299</v>
      </c>
      <c r="D65" s="1858" t="s">
        <v>2300</v>
      </c>
      <c r="E65" s="1858" t="s">
        <v>2301</v>
      </c>
      <c r="F65" s="1858" t="s">
        <v>2302</v>
      </c>
      <c r="G65" s="1858" t="s">
        <v>2303</v>
      </c>
      <c r="H65" s="1858" t="s">
        <v>2304</v>
      </c>
      <c r="I65" s="1858" t="s">
        <v>2305</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0（含）-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1" t="str">
        <f>M68&amp;"（含）"&amp;"-"&amp;P68</f>
        <v>（含）-</v>
      </c>
      <c r="N67" s="1856"/>
      <c r="O67" s="1856"/>
      <c r="P67" s="1851"/>
      <c r="Q67" s="1820"/>
    </row>
    <row r="68" spans="1:17" ht="15">
      <c r="A68" s="1852"/>
      <c r="B68" s="1865"/>
      <c r="C68" s="1866">
        <v>0</v>
      </c>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2306</v>
      </c>
      <c r="C76" s="1884" t="s">
        <v>2307</v>
      </c>
      <c r="D76" s="1884" t="s">
        <v>2308</v>
      </c>
      <c r="E76" s="1884" t="s">
        <v>2309</v>
      </c>
      <c r="F76" s="1884" t="s">
        <v>2310</v>
      </c>
      <c r="G76" s="1884" t="s">
        <v>2311</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2312</v>
      </c>
      <c r="C78" s="579" t="s">
        <v>2307</v>
      </c>
      <c r="D78" s="579" t="s">
        <v>2308</v>
      </c>
      <c r="E78" s="579" t="s">
        <v>2309</v>
      </c>
      <c r="F78" s="579" t="s">
        <v>2310</v>
      </c>
      <c r="G78" s="579" t="s">
        <v>2311</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2313</v>
      </c>
      <c r="C80" s="579" t="s">
        <v>2307</v>
      </c>
      <c r="D80" s="579" t="s">
        <v>2308</v>
      </c>
      <c r="E80" s="579" t="s">
        <v>2309</v>
      </c>
      <c r="F80" s="579" t="s">
        <v>2310</v>
      </c>
      <c r="G80" s="579" t="s">
        <v>2311</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1706</v>
      </c>
      <c r="C82" s="1858" t="s">
        <v>2314</v>
      </c>
      <c r="D82" s="1858" t="s">
        <v>2315</v>
      </c>
      <c r="E82" s="1858" t="s">
        <v>2316</v>
      </c>
      <c r="F82" s="1858" t="s">
        <v>2317</v>
      </c>
      <c r="G82" s="1858" t="s">
        <v>2318</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5"/>
      <c r="N83" s="1856"/>
      <c r="O83" s="1856"/>
      <c r="P83" s="1851"/>
      <c r="Q83" s="1820"/>
    </row>
    <row r="84" spans="1:17" ht="15.75" thickTop="1">
      <c r="A84" s="1852"/>
      <c r="B84" s="1857" t="s">
        <v>2319</v>
      </c>
      <c r="C84" s="579" t="s">
        <v>2307</v>
      </c>
      <c r="D84" s="579" t="s">
        <v>2308</v>
      </c>
      <c r="E84" s="579" t="s">
        <v>2309</v>
      </c>
      <c r="F84" s="579" t="s">
        <v>2310</v>
      </c>
      <c r="G84" s="579" t="s">
        <v>2311</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5" customFormat="1" ht="15.75" thickTop="1">
      <c r="A86" s="1888"/>
      <c r="B86" s="1857" t="s">
        <v>2320</v>
      </c>
      <c r="C86" s="468"/>
      <c r="D86" s="468"/>
      <c r="E86" s="468"/>
      <c r="F86" s="468"/>
      <c r="G86" s="468"/>
      <c r="H86" s="468"/>
      <c r="I86" s="468"/>
      <c r="J86" s="468"/>
      <c r="K86" s="468"/>
      <c r="L86" s="468"/>
      <c r="M86" s="1889"/>
      <c r="N86" s="1841"/>
      <c r="O86" s="1841"/>
      <c r="P86" s="1851"/>
      <c r="Q86" s="1820"/>
    </row>
    <row r="87" spans="1:17" s="1685"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5" customFormat="1" ht="15.75" thickTop="1">
      <c r="A88" s="1888"/>
      <c r="B88" s="1857" t="s">
        <v>2321</v>
      </c>
      <c r="C88" s="3180" t="s">
        <v>3109</v>
      </c>
      <c r="D88" s="3180" t="s">
        <v>3110</v>
      </c>
      <c r="E88" s="3180" t="s">
        <v>3111</v>
      </c>
      <c r="F88" s="1891"/>
      <c r="G88" s="468"/>
      <c r="H88" s="468"/>
      <c r="I88" s="468"/>
      <c r="J88" s="468"/>
      <c r="K88" s="468"/>
      <c r="L88" s="468"/>
      <c r="M88" s="1889"/>
      <c r="N88" s="1841"/>
      <c r="O88" s="1841"/>
      <c r="P88" s="1851"/>
      <c r="Q88" s="1820"/>
    </row>
    <row r="89" spans="1:17" s="1685" customFormat="1" ht="15.75" thickBot="1">
      <c r="A89" s="1888"/>
      <c r="B89" s="1860"/>
      <c r="C89" s="1890">
        <v>100</v>
      </c>
      <c r="D89" s="1861">
        <f t="shared" ref="D89:M89" si="21">C89-$K26</f>
        <v>99</v>
      </c>
      <c r="E89" s="1861">
        <f t="shared" si="21"/>
        <v>98</v>
      </c>
      <c r="F89" s="1861">
        <f t="shared" si="21"/>
        <v>97</v>
      </c>
      <c r="G89" s="1861">
        <f t="shared" si="21"/>
        <v>96</v>
      </c>
      <c r="H89" s="1861">
        <f t="shared" si="21"/>
        <v>95</v>
      </c>
      <c r="I89" s="1861">
        <f t="shared" si="21"/>
        <v>94</v>
      </c>
      <c r="J89" s="1861">
        <f t="shared" si="21"/>
        <v>93</v>
      </c>
      <c r="K89" s="1861">
        <f t="shared" si="21"/>
        <v>92</v>
      </c>
      <c r="L89" s="1861">
        <f t="shared" si="21"/>
        <v>91</v>
      </c>
      <c r="M89" s="1861">
        <f t="shared" si="21"/>
        <v>90</v>
      </c>
      <c r="N89" s="1856"/>
      <c r="O89" s="1856"/>
      <c r="P89" s="1851"/>
      <c r="Q89" s="1820"/>
    </row>
    <row r="90" spans="1:17" s="1770" customFormat="1" ht="15.75" thickTop="1">
      <c r="A90" s="1868"/>
      <c r="B90" s="1857" t="str">
        <f>B27</f>
        <v>楼层</v>
      </c>
      <c r="C90" s="3182"/>
      <c r="D90" s="3250"/>
      <c r="E90" s="3250"/>
      <c r="F90" s="3250"/>
      <c r="G90" s="3250"/>
      <c r="H90" s="443"/>
      <c r="I90" s="443"/>
      <c r="J90" s="443"/>
      <c r="K90" s="443"/>
      <c r="L90" s="443"/>
      <c r="M90" s="1869"/>
      <c r="N90" s="1870"/>
      <c r="O90" s="1870"/>
      <c r="P90" s="1871"/>
      <c r="Q90" s="1872"/>
    </row>
    <row r="91" spans="1:17" s="1770" customFormat="1" ht="15.75" thickBot="1">
      <c r="A91" s="1868"/>
      <c r="B91" s="1860"/>
      <c r="C91" s="1873"/>
      <c r="D91" s="1873"/>
      <c r="E91" s="3251"/>
      <c r="F91" s="1873"/>
      <c r="G91" s="3251"/>
      <c r="H91" s="1876"/>
      <c r="I91" s="1876"/>
      <c r="J91" s="1876"/>
      <c r="K91" s="1876"/>
      <c r="L91" s="1876"/>
      <c r="M91" s="1877"/>
      <c r="N91" s="1870"/>
      <c r="O91" s="1870"/>
      <c r="P91" s="1871"/>
      <c r="Q91" s="1872"/>
    </row>
    <row r="92" spans="1:17" ht="15.75" thickTop="1">
      <c r="A92" s="1852"/>
      <c r="B92" s="1857" t="str">
        <f>B28</f>
        <v>建成年代</v>
      </c>
      <c r="C92" s="468"/>
      <c r="D92" s="468"/>
      <c r="E92" s="468"/>
      <c r="F92" s="468"/>
      <c r="G92" s="1578"/>
      <c r="H92" s="1578"/>
      <c r="I92" s="1578"/>
      <c r="J92" s="1578"/>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t="str">
        <f>B29</f>
        <v>楼层</v>
      </c>
      <c r="C94" s="468" t="str">
        <f>C29</f>
        <v>6/6</v>
      </c>
      <c r="D94" s="3250" t="str">
        <f>E29</f>
        <v>4/6</v>
      </c>
      <c r="E94" s="3250" t="s">
        <v>3706</v>
      </c>
      <c r="F94" s="3250"/>
      <c r="G94" s="1578"/>
      <c r="H94" s="1578"/>
      <c r="I94" s="1578"/>
      <c r="J94" s="1578"/>
      <c r="K94" s="473"/>
      <c r="L94" s="473"/>
      <c r="M94" s="1892"/>
      <c r="N94" s="1850"/>
      <c r="O94" s="1850"/>
      <c r="P94" s="1851"/>
      <c r="Q94" s="1820"/>
    </row>
    <row r="95" spans="1:17" ht="15.75" thickBot="1">
      <c r="A95" s="1852"/>
      <c r="B95" s="1860"/>
      <c r="C95" s="1873">
        <v>100</v>
      </c>
      <c r="D95" s="1873">
        <v>106</v>
      </c>
      <c r="E95" s="1873">
        <v>103</v>
      </c>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8"/>
      <c r="H96" s="1578"/>
      <c r="I96" s="1578"/>
      <c r="J96" s="1578"/>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2273</v>
      </c>
      <c r="B100" s="1846" t="s">
        <v>2322</v>
      </c>
      <c r="C100" s="3233" t="s">
        <v>3102</v>
      </c>
      <c r="D100" s="3233" t="s">
        <v>3103</v>
      </c>
      <c r="E100" s="3233" t="s">
        <v>3104</v>
      </c>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99.5</v>
      </c>
      <c r="E101" s="1861">
        <f t="shared" si="22"/>
        <v>99</v>
      </c>
      <c r="F101" s="1861">
        <f t="shared" si="22"/>
        <v>98.5</v>
      </c>
      <c r="G101" s="1861">
        <f t="shared" si="22"/>
        <v>98</v>
      </c>
      <c r="H101" s="1861">
        <f t="shared" si="22"/>
        <v>97.5</v>
      </c>
      <c r="I101" s="1861">
        <f t="shared" si="22"/>
        <v>97</v>
      </c>
      <c r="J101" s="1861">
        <f t="shared" si="22"/>
        <v>96.5</v>
      </c>
      <c r="K101" s="1861">
        <f t="shared" si="22"/>
        <v>96</v>
      </c>
      <c r="L101" s="1861">
        <f t="shared" si="22"/>
        <v>95.5</v>
      </c>
      <c r="M101" s="1861">
        <f t="shared" si="22"/>
        <v>95</v>
      </c>
      <c r="N101" s="1856"/>
      <c r="O101" s="1856"/>
      <c r="P101" s="1851"/>
      <c r="Q101" s="1820"/>
    </row>
    <row r="102" spans="1:17" ht="15.75" thickTop="1">
      <c r="A102" s="1852"/>
      <c r="B102" s="1857" t="s">
        <v>2323</v>
      </c>
      <c r="C102" s="579" t="str">
        <f>C103&amp;"(含)"&amp;"-"&amp;D103</f>
        <v>0(含)-40</v>
      </c>
      <c r="D102" s="579" t="str">
        <f t="shared" ref="D102:L102" si="23">D103&amp;"(含)"&amp;"-"&amp;E103</f>
        <v>40(含)-80</v>
      </c>
      <c r="E102" s="579" t="str">
        <f t="shared" si="23"/>
        <v>80(含)-120</v>
      </c>
      <c r="F102" s="579" t="str">
        <f t="shared" si="23"/>
        <v>120(含)-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v>0</v>
      </c>
      <c r="D103" s="1900">
        <v>40</v>
      </c>
      <c r="E103" s="1900">
        <v>80</v>
      </c>
      <c r="F103" s="1900">
        <v>120</v>
      </c>
      <c r="G103" s="1900"/>
      <c r="H103" s="1900"/>
      <c r="I103" s="1900"/>
      <c r="J103" s="485"/>
      <c r="K103" s="485"/>
      <c r="L103" s="485"/>
      <c r="M103" s="1901"/>
      <c r="N103" s="1870"/>
      <c r="O103" s="1870"/>
      <c r="P103" s="1871"/>
      <c r="Q103" s="1872"/>
    </row>
    <row r="104" spans="1:17" s="1770" customFormat="1" ht="15.75" thickBot="1">
      <c r="A104" s="1868"/>
      <c r="B104" s="1860"/>
      <c r="C104" s="1873">
        <v>100</v>
      </c>
      <c r="D104" s="1854">
        <v>99</v>
      </c>
      <c r="E104" s="1854">
        <v>98</v>
      </c>
      <c r="F104" s="1854">
        <v>97</v>
      </c>
      <c r="G104" s="1854"/>
      <c r="H104" s="1854"/>
      <c r="I104" s="1854"/>
      <c r="J104" s="1854"/>
      <c r="K104" s="1854"/>
      <c r="L104" s="1854"/>
      <c r="M104" s="1854"/>
      <c r="N104" s="1856"/>
      <c r="O104" s="1856"/>
      <c r="P104" s="1871"/>
      <c r="Q104" s="1872"/>
    </row>
    <row r="105" spans="1:17" ht="15" thickTop="1">
      <c r="A105" s="1902"/>
      <c r="B105" s="1857" t="s">
        <v>2324</v>
      </c>
      <c r="C105" s="3180" t="s">
        <v>3096</v>
      </c>
      <c r="D105" s="3180" t="s">
        <v>3105</v>
      </c>
      <c r="E105" s="1578"/>
      <c r="F105" s="1578"/>
      <c r="G105" s="1578"/>
      <c r="H105" s="1578"/>
      <c r="I105" s="1578"/>
      <c r="J105" s="1578"/>
      <c r="K105" s="473"/>
      <c r="L105" s="473"/>
      <c r="M105" s="1892"/>
      <c r="N105" s="1850"/>
      <c r="O105" s="1850"/>
      <c r="P105" s="1851"/>
      <c r="Q105" s="1820"/>
    </row>
    <row r="106" spans="1:17" ht="15.75" thickBot="1">
      <c r="A106" s="1852"/>
      <c r="B106" s="1860"/>
      <c r="C106" s="1861">
        <v>100</v>
      </c>
      <c r="D106" s="1861">
        <f t="shared" ref="D106:M106" si="24">C106-$K34</f>
        <v>98</v>
      </c>
      <c r="E106" s="1861">
        <f t="shared" si="24"/>
        <v>96</v>
      </c>
      <c r="F106" s="1861">
        <f t="shared" si="24"/>
        <v>94</v>
      </c>
      <c r="G106" s="1861">
        <f t="shared" si="24"/>
        <v>92</v>
      </c>
      <c r="H106" s="1861">
        <f t="shared" si="24"/>
        <v>90</v>
      </c>
      <c r="I106" s="1861">
        <f t="shared" si="24"/>
        <v>88</v>
      </c>
      <c r="J106" s="1861">
        <f t="shared" si="24"/>
        <v>86</v>
      </c>
      <c r="K106" s="1861">
        <f t="shared" si="24"/>
        <v>84</v>
      </c>
      <c r="L106" s="1861">
        <f t="shared" si="24"/>
        <v>82</v>
      </c>
      <c r="M106" s="1861">
        <f t="shared" si="24"/>
        <v>80</v>
      </c>
      <c r="N106" s="1856"/>
      <c r="O106" s="1856"/>
      <c r="P106" s="1851"/>
      <c r="Q106" s="1820"/>
    </row>
    <row r="107" spans="1:17" ht="15" thickTop="1">
      <c r="A107" s="1902"/>
      <c r="B107" s="1857" t="s">
        <v>2325</v>
      </c>
      <c r="C107" s="1578"/>
      <c r="D107" s="1578"/>
      <c r="E107" s="1578"/>
      <c r="F107" s="1578"/>
      <c r="G107" s="1578"/>
      <c r="H107" s="1578"/>
      <c r="I107" s="1578"/>
      <c r="J107" s="1578"/>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2326</v>
      </c>
      <c r="C109" s="3180" t="s">
        <v>2944</v>
      </c>
      <c r="D109" s="3180" t="s">
        <v>3097</v>
      </c>
      <c r="E109" s="3180" t="s">
        <v>3098</v>
      </c>
      <c r="F109" s="1578"/>
      <c r="G109" s="1578"/>
      <c r="H109" s="1578"/>
      <c r="I109" s="1578"/>
      <c r="J109" s="1578"/>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101</v>
      </c>
      <c r="E113" s="1861">
        <f>D113+$K37</f>
        <v>102</v>
      </c>
      <c r="F113" s="1861">
        <f>E113+$K37</f>
        <v>103</v>
      </c>
      <c r="G113" s="1861">
        <f>F113+$K37</f>
        <v>104</v>
      </c>
      <c r="H113" s="1861">
        <f>G113+$K37</f>
        <v>105</v>
      </c>
      <c r="I113" s="1890"/>
      <c r="J113" s="1906"/>
      <c r="K113" s="1906"/>
      <c r="L113" s="1906"/>
      <c r="M113" s="1907"/>
      <c r="N113" s="1870"/>
      <c r="O113" s="1870"/>
      <c r="P113" s="1871"/>
      <c r="Q113" s="1872"/>
    </row>
    <row r="114" spans="1:17" ht="15" thickTop="1">
      <c r="A114" s="1902"/>
      <c r="B114" s="1857" t="s">
        <v>2328</v>
      </c>
      <c r="C114" s="3180" t="s">
        <v>3100</v>
      </c>
      <c r="D114" s="468"/>
      <c r="E114" s="1578"/>
      <c r="F114" s="1578"/>
      <c r="G114" s="1578"/>
      <c r="H114" s="1578"/>
      <c r="I114" s="1578"/>
      <c r="J114" s="1578"/>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2329</v>
      </c>
      <c r="C116" s="3180" t="s">
        <v>2945</v>
      </c>
      <c r="D116" s="468"/>
      <c r="E116" s="468"/>
      <c r="F116" s="468"/>
      <c r="G116" s="468"/>
      <c r="H116" s="1578"/>
      <c r="I116" s="1578"/>
      <c r="J116" s="1578"/>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2330</v>
      </c>
      <c r="C118" s="1578"/>
      <c r="D118" s="1578"/>
      <c r="E118" s="1578"/>
      <c r="F118" s="1578"/>
      <c r="G118" s="1578"/>
      <c r="H118" s="1578"/>
      <c r="I118" s="1578"/>
      <c r="J118" s="1578"/>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2284</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2331</v>
      </c>
      <c r="C122" s="3180" t="s">
        <v>2944</v>
      </c>
      <c r="D122" s="3180" t="s">
        <v>3097</v>
      </c>
      <c r="E122" s="3180" t="s">
        <v>3098</v>
      </c>
      <c r="F122" s="1578"/>
      <c r="G122" s="1578"/>
      <c r="H122" s="1578"/>
      <c r="I122" s="1578"/>
      <c r="J122" s="1578"/>
      <c r="K122" s="473"/>
      <c r="L122" s="473"/>
      <c r="M122" s="1892"/>
      <c r="N122" s="1850"/>
      <c r="O122" s="1850"/>
      <c r="P122" s="1851"/>
      <c r="Q122" s="1820"/>
    </row>
    <row r="123" spans="1:17" ht="15.75" thickBot="1">
      <c r="A123" s="1852"/>
      <c r="B123" s="1860"/>
      <c r="C123" s="1861">
        <v>100</v>
      </c>
      <c r="D123" s="1861">
        <f t="shared" ref="D123:M123" si="29">C123-$K42</f>
        <v>99</v>
      </c>
      <c r="E123" s="1861">
        <f t="shared" si="29"/>
        <v>98</v>
      </c>
      <c r="F123" s="1861">
        <f t="shared" si="29"/>
        <v>97</v>
      </c>
      <c r="G123" s="1861">
        <f t="shared" si="29"/>
        <v>96</v>
      </c>
      <c r="H123" s="1861">
        <f t="shared" si="29"/>
        <v>95</v>
      </c>
      <c r="I123" s="1861">
        <f t="shared" si="29"/>
        <v>94</v>
      </c>
      <c r="J123" s="1861">
        <f t="shared" si="29"/>
        <v>93</v>
      </c>
      <c r="K123" s="1861">
        <f t="shared" si="29"/>
        <v>92</v>
      </c>
      <c r="L123" s="1861">
        <f t="shared" si="29"/>
        <v>91</v>
      </c>
      <c r="M123" s="1861">
        <f t="shared" si="29"/>
        <v>90</v>
      </c>
      <c r="N123" s="1856"/>
      <c r="O123" s="1856"/>
      <c r="P123" s="1851"/>
      <c r="Q123" s="1820"/>
    </row>
    <row r="124" spans="1:17" ht="15" thickTop="1">
      <c r="A124" s="1902"/>
      <c r="B124" s="1857" t="s">
        <v>2332</v>
      </c>
      <c r="C124" s="579" t="s">
        <v>2307</v>
      </c>
      <c r="D124" s="579" t="s">
        <v>2308</v>
      </c>
      <c r="E124" s="579" t="s">
        <v>2309</v>
      </c>
      <c r="F124" s="579" t="s">
        <v>2310</v>
      </c>
      <c r="G124" s="579" t="s">
        <v>2311</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t="str">
        <f>B44</f>
        <v>电梯</v>
      </c>
      <c r="C126" s="3180" t="s">
        <v>3114</v>
      </c>
      <c r="D126" s="3180" t="s">
        <v>3115</v>
      </c>
      <c r="E126" s="468"/>
      <c r="F126" s="468"/>
      <c r="G126" s="468"/>
      <c r="H126" s="443"/>
      <c r="I126" s="443"/>
      <c r="J126" s="443"/>
      <c r="K126" s="443"/>
      <c r="L126" s="443"/>
      <c r="M126" s="1869"/>
      <c r="N126" s="1870"/>
      <c r="O126" s="1870"/>
      <c r="P126" s="1871"/>
      <c r="Q126" s="1872"/>
    </row>
    <row r="127" spans="1:17" s="1770" customFormat="1" ht="15.75" thickBot="1">
      <c r="A127" s="1868"/>
      <c r="B127" s="1860"/>
      <c r="C127" s="1873">
        <v>100</v>
      </c>
      <c r="D127" s="1854">
        <v>90</v>
      </c>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8"/>
      <c r="H128" s="1578"/>
      <c r="I128" s="1578"/>
      <c r="J128" s="1578"/>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3" t="s">
        <v>2333</v>
      </c>
    </row>
    <row r="137" spans="1:17" ht="15">
      <c r="B137" s="1910" t="s">
        <v>2334</v>
      </c>
      <c r="C137" s="1911"/>
      <c r="D137" s="1911"/>
      <c r="E137" s="1911"/>
      <c r="F137" s="1911"/>
      <c r="G137" s="1912"/>
      <c r="H137" s="1913"/>
      <c r="I137" s="1914" t="s">
        <v>2335</v>
      </c>
      <c r="J137" s="1911"/>
      <c r="K137" s="1915"/>
    </row>
    <row r="138" spans="1:17" ht="15">
      <c r="B138" s="1916"/>
      <c r="C138" s="1917" t="s">
        <v>2336</v>
      </c>
      <c r="D138" s="1917" t="s">
        <v>2337</v>
      </c>
      <c r="E138" s="1918" t="s">
        <v>2338</v>
      </c>
      <c r="F138" s="1919" t="s">
        <v>2339</v>
      </c>
      <c r="G138" s="1917" t="s">
        <v>2337</v>
      </c>
      <c r="H138" s="1920" t="s">
        <v>2338</v>
      </c>
      <c r="I138" s="1921"/>
      <c r="J138" s="1917" t="s">
        <v>2340</v>
      </c>
      <c r="K138" s="1920" t="s">
        <v>2341</v>
      </c>
    </row>
    <row r="139" spans="1:17" ht="15">
      <c r="B139" s="1922">
        <v>6</v>
      </c>
      <c r="C139" s="1923">
        <v>96</v>
      </c>
      <c r="D139" s="1924" t="s">
        <v>2342</v>
      </c>
      <c r="E139" s="1925">
        <v>100</v>
      </c>
      <c r="F139" s="1926">
        <v>102.5</v>
      </c>
      <c r="G139" s="1924" t="s">
        <v>2342</v>
      </c>
      <c r="H139" s="1927">
        <v>105</v>
      </c>
      <c r="I139" s="1928" t="s">
        <v>2343</v>
      </c>
      <c r="J139" s="1923">
        <v>20</v>
      </c>
      <c r="K139" s="1929">
        <f>C145/(J139-2)</f>
        <v>4.0555555555555553E-3</v>
      </c>
    </row>
    <row r="140" spans="1:17" ht="15">
      <c r="B140" s="1930">
        <v>5</v>
      </c>
      <c r="C140" s="1931">
        <v>100</v>
      </c>
      <c r="D140" s="1931"/>
      <c r="E140" s="1932"/>
      <c r="F140" s="1933">
        <v>102</v>
      </c>
      <c r="G140" s="1931"/>
      <c r="H140" s="1934"/>
      <c r="I140" s="1935" t="s">
        <v>2344</v>
      </c>
      <c r="J140" s="1936">
        <f>ROUNDUP((J139-1)/2,0)</f>
        <v>10</v>
      </c>
      <c r="K140" s="1937">
        <v>100</v>
      </c>
    </row>
    <row r="141" spans="1:17" ht="15">
      <c r="B141" s="1930">
        <v>4</v>
      </c>
      <c r="C141" s="1931">
        <v>102</v>
      </c>
      <c r="D141" s="1931"/>
      <c r="E141" s="1932"/>
      <c r="F141" s="1933">
        <v>101.5</v>
      </c>
      <c r="G141" s="1931"/>
      <c r="H141" s="1934"/>
      <c r="I141" s="1935" t="s">
        <v>2345</v>
      </c>
      <c r="J141" s="1936">
        <v>1</v>
      </c>
      <c r="K141" s="1938">
        <f>ROUND(100+(J141-J140)*K139*100,1)</f>
        <v>96.4</v>
      </c>
    </row>
    <row r="142" spans="1:17" ht="15">
      <c r="B142" s="1930">
        <v>3</v>
      </c>
      <c r="C142" s="1931">
        <v>103</v>
      </c>
      <c r="D142" s="1931"/>
      <c r="E142" s="1932"/>
      <c r="F142" s="1933">
        <v>101</v>
      </c>
      <c r="G142" s="1931"/>
      <c r="H142" s="1934"/>
      <c r="I142" s="1935" t="s">
        <v>2346</v>
      </c>
      <c r="J142" s="1936">
        <f>J139</f>
        <v>20</v>
      </c>
      <c r="K142" s="1939">
        <v>95</v>
      </c>
    </row>
    <row r="143" spans="1:17" ht="15">
      <c r="B143" s="1930">
        <v>2</v>
      </c>
      <c r="C143" s="1931">
        <v>100</v>
      </c>
      <c r="D143" s="1931"/>
      <c r="E143" s="1932"/>
      <c r="F143" s="1933">
        <v>100.5</v>
      </c>
      <c r="G143" s="1931"/>
      <c r="H143" s="1934"/>
      <c r="I143" s="1935" t="s">
        <v>2347</v>
      </c>
      <c r="J143" s="1931">
        <v>15</v>
      </c>
      <c r="K143" s="1938">
        <f>ROUND(100+(J143-J140)*K139*100,1)</f>
        <v>102</v>
      </c>
    </row>
    <row r="144" spans="1:17" ht="15">
      <c r="B144" s="1930">
        <v>1</v>
      </c>
      <c r="C144" s="1931">
        <v>98</v>
      </c>
      <c r="D144" s="1420" t="s">
        <v>2348</v>
      </c>
      <c r="E144" s="1932">
        <v>102</v>
      </c>
      <c r="F144" s="1940">
        <v>100</v>
      </c>
      <c r="G144" s="1420" t="s">
        <v>2348</v>
      </c>
      <c r="H144" s="1934">
        <v>105</v>
      </c>
      <c r="I144" s="1935" t="s">
        <v>2347</v>
      </c>
      <c r="J144" s="1931">
        <v>18</v>
      </c>
      <c r="K144" s="1938">
        <f>ROUND(100+(J144-J140)*K139*100,1)</f>
        <v>103.2</v>
      </c>
    </row>
    <row r="145" spans="2:11" ht="15.75" thickBot="1">
      <c r="B145" s="1941" t="s">
        <v>2349</v>
      </c>
      <c r="C145" s="1942">
        <f>ROUND(MAX(C139:C144)/MIN(C139:C144)-1,3)</f>
        <v>7.2999999999999995E-2</v>
      </c>
      <c r="D145" s="1943"/>
      <c r="E145" s="1943"/>
      <c r="F145" s="1574" t="s">
        <v>2350</v>
      </c>
      <c r="G145" s="1944"/>
      <c r="H145" s="1945"/>
      <c r="I145" s="1946" t="s">
        <v>2347</v>
      </c>
      <c r="J145" s="1947">
        <v>8</v>
      </c>
      <c r="K145" s="1948">
        <f>ROUND(100+(J145-J140)*K139*100,1)</f>
        <v>99.2</v>
      </c>
    </row>
    <row r="147" spans="2:11">
      <c r="B147" s="1573" t="s">
        <v>2351</v>
      </c>
    </row>
    <row r="148" spans="2:11">
      <c r="B148" s="1573" t="s">
        <v>2352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8" customWidth="1"/>
    <col min="12" max="12" width="12.25" style="1909" customWidth="1"/>
    <col min="13" max="15" width="12.25" style="1667" customWidth="1"/>
    <col min="16" max="16" width="4.75" style="1805"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2353</v>
      </c>
      <c r="C1" s="1639"/>
      <c r="D1" s="2468"/>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8" customFormat="1" ht="28.5" customHeight="1" thickTop="1">
      <c r="A2" s="1649" t="s">
        <v>1913</v>
      </c>
      <c r="B2" s="1650" t="e">
        <f ca="1">IF(D2="——",IF(C2="元",ROUND(C49*D3,0),ROUND(C49*D3/10000,0)),IF(C2="元",ROUND(C49*D3,0),ROUND(C49*D3/10000,0))-E2)</f>
        <v>#DIV/0!</v>
      </c>
      <c r="C2" s="1651" t="str">
        <f>'数据-取费表'!B3</f>
        <v>元</v>
      </c>
      <c r="D2" s="1652"/>
      <c r="E2" s="2469" t="e">
        <f ca="1">SUMIF(INDIRECT("'"&amp;G2&amp;"'"&amp;"!A:A"),"承租人权益价值",INDIRECT("'"&amp;G2&amp;"'"&amp;"!c:c"))</f>
        <v>#REF!</v>
      </c>
      <c r="F2" s="1654" t="str">
        <f>C2</f>
        <v>元</v>
      </c>
      <c r="G2" s="1655"/>
      <c r="H2" s="3010"/>
      <c r="I2" s="3010"/>
      <c r="J2" s="3010"/>
      <c r="K2" s="3010"/>
      <c r="L2" s="3012"/>
      <c r="M2" s="3010"/>
      <c r="N2" s="3010"/>
      <c r="O2" s="3010"/>
      <c r="P2" s="2470"/>
      <c r="Q2" s="1955"/>
      <c r="R2" s="1955"/>
      <c r="S2" s="1955"/>
      <c r="T2" s="1955"/>
      <c r="U2" s="1955"/>
      <c r="V2" s="1955"/>
      <c r="W2" s="1955"/>
      <c r="X2" s="1955"/>
      <c r="Y2" s="1955"/>
      <c r="Z2" s="1955"/>
      <c r="AA2" s="1955"/>
      <c r="AB2" s="1955"/>
      <c r="AC2" s="1956"/>
    </row>
    <row r="3" spans="1:29" s="1958" customFormat="1" ht="28.5" customHeight="1" thickBot="1">
      <c r="A3" s="1659" t="s">
        <v>1914</v>
      </c>
      <c r="B3" s="1961" t="e">
        <f ca="1">ROUND(IF(D2="——",C49,IF(C2="万元",B2*10000/D3,B2/D3)),0)</f>
        <v>#DIV/0!</v>
      </c>
      <c r="C3" s="1660" t="s">
        <v>2244</v>
      </c>
      <c r="D3" s="1660">
        <f>IF(C1="仅计算典型户型",'数据-取费表'!E5,'数据-取费表'!B5)</f>
        <v>64.19</v>
      </c>
      <c r="F3" s="3009"/>
      <c r="G3" s="3010"/>
      <c r="H3" s="3010"/>
      <c r="I3" s="3010"/>
      <c r="J3" s="3010"/>
      <c r="K3" s="3011"/>
      <c r="L3" s="3012"/>
      <c r="M3" s="3010"/>
      <c r="N3" s="3010"/>
      <c r="O3" s="3010"/>
      <c r="P3" s="2470"/>
      <c r="Q3" s="1955"/>
      <c r="R3" s="1955"/>
      <c r="S3" s="1955"/>
      <c r="T3" s="1955"/>
      <c r="U3" s="1955"/>
      <c r="V3" s="1955"/>
      <c r="W3" s="1955"/>
      <c r="X3" s="1955"/>
      <c r="Y3" s="1955"/>
      <c r="Z3" s="1955"/>
      <c r="AA3" s="1955"/>
      <c r="AB3" s="1955"/>
      <c r="AC3" s="1963"/>
    </row>
    <row r="4" spans="1:29" ht="15">
      <c r="A4" s="1663" t="s">
        <v>2245</v>
      </c>
      <c r="B4" s="1664"/>
      <c r="C4" s="3726" t="s">
        <v>2246</v>
      </c>
      <c r="D4" s="3727"/>
      <c r="E4" s="3728" t="s">
        <v>2247</v>
      </c>
      <c r="F4" s="3729"/>
      <c r="G4" s="3726" t="s">
        <v>2248</v>
      </c>
      <c r="H4" s="3727"/>
      <c r="I4" s="3726" t="s">
        <v>2249</v>
      </c>
      <c r="J4" s="3727"/>
      <c r="K4" s="1964" t="s">
        <v>2250</v>
      </c>
      <c r="L4" s="2995"/>
      <c r="M4" s="2996"/>
      <c r="N4" s="2996"/>
      <c r="O4" s="2996"/>
      <c r="P4" s="3730" t="s">
        <v>2251</v>
      </c>
      <c r="Q4" s="3731"/>
      <c r="R4" s="3715" t="s">
        <v>2247</v>
      </c>
      <c r="S4" s="3716"/>
      <c r="T4" s="3715" t="s">
        <v>2248</v>
      </c>
      <c r="U4" s="3716"/>
      <c r="V4" s="3736" t="s">
        <v>2249</v>
      </c>
      <c r="W4" s="3736"/>
      <c r="X4" s="2073"/>
      <c r="Y4" s="3715" t="s">
        <v>2251</v>
      </c>
      <c r="Z4" s="3716"/>
      <c r="AA4" s="3723" t="s">
        <v>2247</v>
      </c>
      <c r="AB4" s="3736" t="s">
        <v>2248</v>
      </c>
      <c r="AC4" s="3723" t="s">
        <v>2249</v>
      </c>
    </row>
    <row r="5" spans="1:29" ht="15">
      <c r="A5" s="1668"/>
      <c r="B5" s="1669"/>
      <c r="C5" s="3742" t="s">
        <v>2252</v>
      </c>
      <c r="D5" s="3712"/>
      <c r="E5" s="3741" t="s">
        <v>2253</v>
      </c>
      <c r="F5" s="3738"/>
      <c r="G5" s="3742" t="s">
        <v>2254</v>
      </c>
      <c r="H5" s="3712"/>
      <c r="I5" s="3742" t="s">
        <v>2255</v>
      </c>
      <c r="J5" s="3712"/>
      <c r="K5" s="1964"/>
      <c r="L5" s="2995"/>
      <c r="M5" s="2996"/>
      <c r="N5" s="2996"/>
      <c r="O5" s="2996"/>
      <c r="P5" s="3732"/>
      <c r="Q5" s="3733"/>
      <c r="R5" s="3717"/>
      <c r="S5" s="3718"/>
      <c r="T5" s="3717"/>
      <c r="U5" s="3718"/>
      <c r="V5" s="3736"/>
      <c r="W5" s="3736"/>
      <c r="X5" s="2073"/>
      <c r="Y5" s="3717"/>
      <c r="Z5" s="3718"/>
      <c r="AA5" s="3724"/>
      <c r="AB5" s="3736"/>
      <c r="AC5" s="3724"/>
    </row>
    <row r="6" spans="1:29" ht="15.75" thickBot="1">
      <c r="A6" s="1671"/>
      <c r="B6" s="1672"/>
      <c r="C6" s="3709" t="s">
        <v>2256</v>
      </c>
      <c r="D6" s="3710"/>
      <c r="E6" s="3739" t="s">
        <v>2256</v>
      </c>
      <c r="F6" s="3740"/>
      <c r="G6" s="3709" t="s">
        <v>2256</v>
      </c>
      <c r="H6" s="3710"/>
      <c r="I6" s="3709" t="s">
        <v>2256</v>
      </c>
      <c r="J6" s="3710"/>
      <c r="K6" s="1964" t="s">
        <v>2257</v>
      </c>
      <c r="L6" s="2995"/>
      <c r="M6" s="2996"/>
      <c r="N6" s="2996"/>
      <c r="O6" s="2996"/>
      <c r="P6" s="3734"/>
      <c r="Q6" s="3735"/>
      <c r="R6" s="3717"/>
      <c r="S6" s="3718"/>
      <c r="T6" s="3719"/>
      <c r="U6" s="3720"/>
      <c r="V6" s="3736"/>
      <c r="W6" s="3736"/>
      <c r="X6" s="2073"/>
      <c r="Y6" s="3719"/>
      <c r="Z6" s="3720"/>
      <c r="AA6" s="3725"/>
      <c r="AB6" s="3736"/>
      <c r="AC6" s="3725"/>
    </row>
    <row r="7" spans="1:29" s="1685" customFormat="1" ht="15.75" thickBot="1">
      <c r="A7" s="1673" t="s">
        <v>2258</v>
      </c>
      <c r="B7" s="1674"/>
      <c r="C7" s="1675">
        <f>'数据-取费表'!B2</f>
        <v>40002</v>
      </c>
      <c r="D7" s="1676">
        <v>100</v>
      </c>
      <c r="E7" s="1677"/>
      <c r="F7" s="1678">
        <f>SUMIF(58:58,YEAR(E7)&amp;"-"&amp;MONTH(E7),59:59)</f>
        <v>0</v>
      </c>
      <c r="G7" s="1677"/>
      <c r="H7" s="1676">
        <f>SUMIF(58:58,YEAR(G7)&amp;"-"&amp;MONTH(G7),59:59)</f>
        <v>0</v>
      </c>
      <c r="I7" s="1677"/>
      <c r="J7" s="1676">
        <f>SUMIF(58:58,YEAR(I7)&amp;"-"&amp;MONTH(I7),59:59)</f>
        <v>0</v>
      </c>
      <c r="K7" s="1966"/>
      <c r="L7" s="2995"/>
      <c r="M7" s="2968"/>
      <c r="N7" s="2968"/>
      <c r="O7" s="2968"/>
      <c r="P7" s="3713" t="s">
        <v>2259</v>
      </c>
      <c r="Q7" s="3721"/>
      <c r="R7" s="1681" t="s">
        <v>25</v>
      </c>
      <c r="S7" s="1682">
        <f t="shared" ref="S7:S15" si="0">F7</f>
        <v>0</v>
      </c>
      <c r="T7" s="1681" t="s">
        <v>25</v>
      </c>
      <c r="U7" s="1682">
        <f t="shared" ref="U7:U15" si="1">H7</f>
        <v>0</v>
      </c>
      <c r="V7" s="1681" t="s">
        <v>25</v>
      </c>
      <c r="W7" s="1682">
        <f t="shared" ref="W7:W15" si="2">J7</f>
        <v>0</v>
      </c>
      <c r="X7" s="1683"/>
      <c r="Y7" s="3713" t="s">
        <v>2259</v>
      </c>
      <c r="Z7" s="3714"/>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6"/>
      <c r="L8" s="2995"/>
      <c r="M8" s="2968"/>
      <c r="N8" s="2968"/>
      <c r="O8" s="2968"/>
      <c r="P8" s="3713" t="s">
        <v>2262</v>
      </c>
      <c r="Q8" s="3714"/>
      <c r="R8" s="1681" t="s">
        <v>25</v>
      </c>
      <c r="S8" s="1682">
        <f t="shared" si="0"/>
        <v>0</v>
      </c>
      <c r="T8" s="1681" t="s">
        <v>25</v>
      </c>
      <c r="U8" s="1682">
        <f t="shared" si="1"/>
        <v>0</v>
      </c>
      <c r="V8" s="1681" t="s">
        <v>25</v>
      </c>
      <c r="W8" s="1682">
        <f t="shared" si="2"/>
        <v>0</v>
      </c>
      <c r="X8" s="1683"/>
      <c r="Y8" s="3713" t="s">
        <v>2262</v>
      </c>
      <c r="Z8" s="3714"/>
      <c r="AA8" s="1684" t="e">
        <f t="shared" ref="AA8:AA46" si="3">D8/F8</f>
        <v>#DIV/0!</v>
      </c>
      <c r="AB8" s="1684" t="e">
        <f t="shared" ref="AB8:AB46" si="4">D8/H8</f>
        <v>#DIV/0!</v>
      </c>
      <c r="AC8" s="1684" t="e">
        <f t="shared" ref="AC8:AC46" si="5">D8/J8</f>
        <v>#DIV/0!</v>
      </c>
    </row>
    <row r="9" spans="1:29" s="1685" customFormat="1">
      <c r="A9" s="2065"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6"/>
      <c r="L9" s="2995"/>
      <c r="M9" s="2968"/>
      <c r="N9" s="2968"/>
      <c r="O9" s="2968"/>
      <c r="P9" s="3722" t="s">
        <v>2265</v>
      </c>
      <c r="Q9" s="2064" t="str">
        <f t="shared" ref="Q9:Q15" si="6">B9</f>
        <v>用途</v>
      </c>
      <c r="R9" s="1681" t="s">
        <v>25</v>
      </c>
      <c r="S9" s="1682">
        <f t="shared" si="0"/>
        <v>100</v>
      </c>
      <c r="T9" s="1681" t="s">
        <v>25</v>
      </c>
      <c r="U9" s="1682">
        <f t="shared" si="1"/>
        <v>100</v>
      </c>
      <c r="V9" s="1681" t="s">
        <v>25</v>
      </c>
      <c r="W9" s="1682">
        <f t="shared" si="2"/>
        <v>100</v>
      </c>
      <c r="X9" s="1683"/>
      <c r="Y9" s="3557" t="s">
        <v>2266</v>
      </c>
      <c r="Z9" s="1693" t="str">
        <f t="shared" ref="Z9:Z15" si="7">Q9</f>
        <v>用途</v>
      </c>
      <c r="AA9" s="1684">
        <f t="shared" si="3"/>
        <v>1</v>
      </c>
      <c r="AB9" s="1684">
        <f t="shared" si="4"/>
        <v>1</v>
      </c>
      <c r="AC9" s="1684">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1"/>
      <c r="L10" s="2997"/>
      <c r="M10" s="2998"/>
      <c r="N10" s="2998"/>
      <c r="O10" s="2998"/>
      <c r="P10" s="3722"/>
      <c r="Q10" s="2064" t="str">
        <f t="shared" si="6"/>
        <v>土地使用年限（年）</v>
      </c>
      <c r="R10" s="1681" t="s">
        <v>25</v>
      </c>
      <c r="S10" s="1682">
        <f t="shared" si="0"/>
        <v>100</v>
      </c>
      <c r="T10" s="1681" t="s">
        <v>25</v>
      </c>
      <c r="U10" s="1682">
        <f t="shared" si="1"/>
        <v>100</v>
      </c>
      <c r="V10" s="1681" t="s">
        <v>25</v>
      </c>
      <c r="W10" s="1682">
        <f t="shared" si="2"/>
        <v>100</v>
      </c>
      <c r="X10" s="1683"/>
      <c r="Y10" s="3557"/>
      <c r="Z10" s="1693" t="str">
        <f t="shared" si="7"/>
        <v>土地使用年限（年）</v>
      </c>
      <c r="AA10" s="1684">
        <f t="shared" si="3"/>
        <v>1</v>
      </c>
      <c r="AB10" s="1684">
        <f t="shared" si="4"/>
        <v>1</v>
      </c>
      <c r="AC10" s="1684">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1"/>
      <c r="L11" s="2999"/>
      <c r="M11" s="2996"/>
      <c r="N11" s="2996"/>
      <c r="O11" s="2996"/>
      <c r="P11" s="3722"/>
      <c r="Q11" s="2064" t="str">
        <f t="shared" si="6"/>
        <v>容积率</v>
      </c>
      <c r="R11" s="1681" t="s">
        <v>25</v>
      </c>
      <c r="S11" s="1682" t="e">
        <f t="shared" si="0"/>
        <v>#N/A</v>
      </c>
      <c r="T11" s="1681" t="s">
        <v>25</v>
      </c>
      <c r="U11" s="1682" t="e">
        <f t="shared" si="1"/>
        <v>#N/A</v>
      </c>
      <c r="V11" s="1681" t="s">
        <v>25</v>
      </c>
      <c r="W11" s="1682" t="e">
        <f t="shared" si="2"/>
        <v>#N/A</v>
      </c>
      <c r="X11" s="1683"/>
      <c r="Y11" s="3557"/>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8"/>
      <c r="L12" s="2995"/>
      <c r="M12" s="2968"/>
      <c r="N12" s="2968"/>
      <c r="O12" s="2968"/>
      <c r="P12" s="3722"/>
      <c r="Q12" s="2064">
        <f t="shared" si="6"/>
        <v>111</v>
      </c>
      <c r="R12" s="1681" t="s">
        <v>25</v>
      </c>
      <c r="S12" s="1682">
        <f t="shared" si="0"/>
        <v>100</v>
      </c>
      <c r="T12" s="1681" t="s">
        <v>25</v>
      </c>
      <c r="U12" s="1682">
        <f t="shared" si="1"/>
        <v>100</v>
      </c>
      <c r="V12" s="1681" t="s">
        <v>25</v>
      </c>
      <c r="W12" s="1682">
        <f t="shared" si="2"/>
        <v>100</v>
      </c>
      <c r="X12" s="1683"/>
      <c r="Y12" s="3557"/>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8"/>
      <c r="L13" s="3000"/>
      <c r="M13" s="2996"/>
      <c r="N13" s="2996"/>
      <c r="O13" s="2996"/>
      <c r="P13" s="3722"/>
      <c r="Q13" s="2064">
        <f t="shared" si="6"/>
        <v>111</v>
      </c>
      <c r="R13" s="1681" t="s">
        <v>25</v>
      </c>
      <c r="S13" s="1682">
        <f t="shared" si="0"/>
        <v>100</v>
      </c>
      <c r="T13" s="1681" t="s">
        <v>25</v>
      </c>
      <c r="U13" s="1682">
        <f t="shared" si="1"/>
        <v>100</v>
      </c>
      <c r="V13" s="1681" t="s">
        <v>25</v>
      </c>
      <c r="W13" s="1682">
        <f t="shared" si="2"/>
        <v>100</v>
      </c>
      <c r="X13" s="1683"/>
      <c r="Y13" s="3557"/>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8"/>
      <c r="L14" s="3000"/>
      <c r="M14" s="2996"/>
      <c r="N14" s="2996"/>
      <c r="O14" s="2996"/>
      <c r="P14" s="3722"/>
      <c r="Q14" s="2064">
        <f t="shared" si="6"/>
        <v>111</v>
      </c>
      <c r="R14" s="1681" t="s">
        <v>25</v>
      </c>
      <c r="S14" s="1682">
        <f t="shared" si="0"/>
        <v>100</v>
      </c>
      <c r="T14" s="1681" t="s">
        <v>25</v>
      </c>
      <c r="U14" s="1682">
        <f t="shared" si="1"/>
        <v>100</v>
      </c>
      <c r="V14" s="1681" t="s">
        <v>25</v>
      </c>
      <c r="W14" s="1682">
        <f t="shared" si="2"/>
        <v>100</v>
      </c>
      <c r="X14" s="1683"/>
      <c r="Y14" s="3557"/>
      <c r="Z14" s="1693">
        <f t="shared" si="7"/>
        <v>111</v>
      </c>
      <c r="AA14" s="1684">
        <f t="shared" si="3"/>
        <v>1</v>
      </c>
      <c r="AB14" s="1684">
        <f t="shared" si="4"/>
        <v>1</v>
      </c>
      <c r="AC14" s="1684">
        <f t="shared" si="5"/>
        <v>1</v>
      </c>
    </row>
    <row r="15" spans="1:29" ht="71.25">
      <c r="A15" s="1717" t="s">
        <v>2269</v>
      </c>
      <c r="B15" s="1718" t="s">
        <v>2354</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1"/>
      <c r="L15" s="3000"/>
      <c r="M15" s="2996"/>
      <c r="N15" s="2996"/>
      <c r="O15" s="2996"/>
      <c r="P15" s="3700" t="s">
        <v>2270</v>
      </c>
      <c r="Q15" s="2070" t="str">
        <f t="shared" si="6"/>
        <v>商业繁华度</v>
      </c>
      <c r="R15" s="1725" t="s">
        <v>25</v>
      </c>
      <c r="S15" s="1726">
        <f t="shared" si="0"/>
        <v>100</v>
      </c>
      <c r="T15" s="1725" t="s">
        <v>25</v>
      </c>
      <c r="U15" s="1726">
        <f t="shared" si="1"/>
        <v>100</v>
      </c>
      <c r="V15" s="1725" t="s">
        <v>25</v>
      </c>
      <c r="W15" s="1726">
        <f t="shared" si="2"/>
        <v>100</v>
      </c>
      <c r="X15" s="2073"/>
      <c r="Y15" s="3702" t="s">
        <v>2270</v>
      </c>
      <c r="Z15" s="2077" t="str">
        <f t="shared" si="7"/>
        <v>商业繁华度</v>
      </c>
      <c r="AA15" s="2068">
        <f t="shared" si="3"/>
        <v>1</v>
      </c>
      <c r="AB15" s="2068">
        <f t="shared" si="4"/>
        <v>1</v>
      </c>
      <c r="AC15" s="2068">
        <f t="shared" si="5"/>
        <v>1</v>
      </c>
    </row>
    <row r="16" spans="1:29" ht="15">
      <c r="A16" s="1702"/>
      <c r="B16" s="1729"/>
      <c r="C16" s="1730"/>
      <c r="D16" s="1731"/>
      <c r="E16" s="1730"/>
      <c r="F16" s="1733"/>
      <c r="G16" s="1730"/>
      <c r="H16" s="1735"/>
      <c r="I16" s="1730"/>
      <c r="J16" s="1731"/>
      <c r="K16" s="2472"/>
      <c r="L16" s="3000"/>
      <c r="M16" s="2996"/>
      <c r="N16" s="2996"/>
      <c r="O16" s="2996"/>
      <c r="P16" s="3701"/>
      <c r="Q16" s="2070"/>
      <c r="R16" s="1725"/>
      <c r="S16" s="1726"/>
      <c r="T16" s="1725"/>
      <c r="U16" s="1726"/>
      <c r="V16" s="1725"/>
      <c r="W16" s="1726"/>
      <c r="X16" s="2073"/>
      <c r="Y16" s="3703"/>
      <c r="Z16" s="2077"/>
      <c r="AA16" s="2068">
        <v>1</v>
      </c>
      <c r="AB16" s="2068">
        <v>1</v>
      </c>
      <c r="AC16" s="2068">
        <v>1</v>
      </c>
    </row>
    <row r="17" spans="1:29" ht="142.5">
      <c r="A17" s="1702"/>
      <c r="B17" s="1737" t="s">
        <v>1705</v>
      </c>
      <c r="C17" s="1738" t="str">
        <f>估价对象房地状况!C6</f>
        <v>距地铁1号线四惠站（换乘站）约1000米（2003），距地铁7号线百子湾站约1.5公里（2014），周边有多条公交线路通过，交通便捷度较好</v>
      </c>
      <c r="D17" s="1735">
        <v>100</v>
      </c>
      <c r="E17" s="1739"/>
      <c r="F17" s="1740">
        <f>SUMIF(78:78,E18,79:79)-SUMIF(78:78,C18,79:79)+100</f>
        <v>100</v>
      </c>
      <c r="G17" s="1741"/>
      <c r="H17" s="1742">
        <f>SUMIF(78:78,G18,79:79)-SUMIF(78:78,C18,79:79)+100</f>
        <v>100</v>
      </c>
      <c r="I17" s="1739"/>
      <c r="J17" s="1742">
        <f>SUMIF(78:78,I18,79:79)-SUMIF(78:78,C18,79:79)+100</f>
        <v>100</v>
      </c>
      <c r="K17" s="2471"/>
      <c r="L17" s="3000"/>
      <c r="M17" s="2996"/>
      <c r="N17" s="2996"/>
      <c r="O17" s="2996"/>
      <c r="P17" s="3701"/>
      <c r="Q17" s="2070" t="str">
        <f>B17</f>
        <v>交通便捷度</v>
      </c>
      <c r="R17" s="1725" t="s">
        <v>25</v>
      </c>
      <c r="S17" s="1726">
        <f>F17</f>
        <v>100</v>
      </c>
      <c r="T17" s="1725" t="s">
        <v>25</v>
      </c>
      <c r="U17" s="1726">
        <f>H17</f>
        <v>100</v>
      </c>
      <c r="V17" s="1725" t="s">
        <v>25</v>
      </c>
      <c r="W17" s="1726">
        <f>J17</f>
        <v>100</v>
      </c>
      <c r="X17" s="2073"/>
      <c r="Y17" s="3703"/>
      <c r="Z17" s="2077" t="str">
        <f>Q17</f>
        <v>交通便捷度</v>
      </c>
      <c r="AA17" s="2068">
        <f t="shared" si="3"/>
        <v>1</v>
      </c>
      <c r="AB17" s="2068">
        <f t="shared" si="4"/>
        <v>1</v>
      </c>
      <c r="AC17" s="2068">
        <f t="shared" si="5"/>
        <v>1</v>
      </c>
    </row>
    <row r="18" spans="1:29" ht="15">
      <c r="A18" s="1702"/>
      <c r="B18" s="1743"/>
      <c r="C18" s="1744"/>
      <c r="D18" s="1735"/>
      <c r="E18" s="1745"/>
      <c r="F18" s="1740"/>
      <c r="G18" s="1746"/>
      <c r="H18" s="1731"/>
      <c r="I18" s="1745"/>
      <c r="J18" s="1731"/>
      <c r="K18" s="2472"/>
      <c r="L18" s="3000"/>
      <c r="M18" s="2996"/>
      <c r="N18" s="2996"/>
      <c r="O18" s="2996"/>
      <c r="P18" s="3701"/>
      <c r="Q18" s="2070"/>
      <c r="R18" s="1725"/>
      <c r="S18" s="1726"/>
      <c r="T18" s="1725"/>
      <c r="U18" s="1726"/>
      <c r="V18" s="1725"/>
      <c r="W18" s="1726"/>
      <c r="X18" s="2073"/>
      <c r="Y18" s="3703"/>
      <c r="Z18" s="2077"/>
      <c r="AA18" s="2068">
        <v>1</v>
      </c>
      <c r="AB18" s="2068">
        <v>1</v>
      </c>
      <c r="AC18" s="2068">
        <v>1</v>
      </c>
    </row>
    <row r="19" spans="1:29" ht="199.5">
      <c r="A19" s="1702"/>
      <c r="B19" s="1737" t="s">
        <v>2355</v>
      </c>
      <c r="C19" s="1738" t="str">
        <f>估价对象房地状况!C7</f>
        <v>华堂商场（十里堡店）、北京四惠中医医院（2016）、北京市朝阳区日坛小学（1962）、垂杨柳第四小学（1971）、北京市第十七中学（百子湾校区）（1946）、北京市日坛中学（四惠校区）（2015）</v>
      </c>
      <c r="D19" s="1742">
        <v>100</v>
      </c>
      <c r="E19" s="1747"/>
      <c r="F19" s="1748">
        <f>SUMIF(80:80,E20,81:81)-SUMIF(80:80,C20,81:81)+100</f>
        <v>100</v>
      </c>
      <c r="G19" s="1749"/>
      <c r="H19" s="1735">
        <f>SUMIF(80:80,G20,81:81)-SUMIF(80:80,C20,81:81)+100</f>
        <v>100</v>
      </c>
      <c r="I19" s="1747"/>
      <c r="J19" s="1735">
        <f>SUMIF(80:80,I20,81:81)-SUMIF(80:80,C20,81:81)+100</f>
        <v>100</v>
      </c>
      <c r="K19" s="2471"/>
      <c r="L19" s="3000"/>
      <c r="M19" s="2996"/>
      <c r="N19" s="2996"/>
      <c r="O19" s="2996"/>
      <c r="P19" s="3701"/>
      <c r="Q19" s="2070" t="str">
        <f>B19</f>
        <v>公共配套设施</v>
      </c>
      <c r="R19" s="1725" t="s">
        <v>25</v>
      </c>
      <c r="S19" s="1726">
        <f>F19</f>
        <v>100</v>
      </c>
      <c r="T19" s="1725" t="s">
        <v>25</v>
      </c>
      <c r="U19" s="1726">
        <f>H19</f>
        <v>100</v>
      </c>
      <c r="V19" s="1725" t="s">
        <v>25</v>
      </c>
      <c r="W19" s="1726">
        <f>J19</f>
        <v>100</v>
      </c>
      <c r="X19" s="2073"/>
      <c r="Y19" s="3703"/>
      <c r="Z19" s="2077" t="str">
        <f>Q19</f>
        <v>公共配套设施</v>
      </c>
      <c r="AA19" s="2068">
        <f t="shared" si="3"/>
        <v>1</v>
      </c>
      <c r="AB19" s="2068">
        <f t="shared" si="4"/>
        <v>1</v>
      </c>
      <c r="AC19" s="2068">
        <f t="shared" si="5"/>
        <v>1</v>
      </c>
    </row>
    <row r="20" spans="1:29" ht="15">
      <c r="A20" s="1702"/>
      <c r="B20" s="1743"/>
      <c r="C20" s="1730"/>
      <c r="D20" s="1731"/>
      <c r="E20" s="1732"/>
      <c r="F20" s="1733"/>
      <c r="G20" s="1734"/>
      <c r="H20" s="1731"/>
      <c r="I20" s="1732"/>
      <c r="J20" s="1731"/>
      <c r="K20" s="2472"/>
      <c r="L20" s="3000"/>
      <c r="M20" s="2996"/>
      <c r="N20" s="2996"/>
      <c r="O20" s="2996"/>
      <c r="P20" s="3701"/>
      <c r="Q20" s="2070"/>
      <c r="R20" s="1725"/>
      <c r="S20" s="1726"/>
      <c r="T20" s="1725"/>
      <c r="U20" s="1726"/>
      <c r="V20" s="1725"/>
      <c r="W20" s="1726"/>
      <c r="X20" s="2073"/>
      <c r="Y20" s="3703"/>
      <c r="Z20" s="2077"/>
      <c r="AA20" s="2068">
        <v>1</v>
      </c>
      <c r="AB20" s="2068">
        <v>1</v>
      </c>
      <c r="AC20" s="2068">
        <v>1</v>
      </c>
    </row>
    <row r="21" spans="1:29" ht="15">
      <c r="A21" s="1702"/>
      <c r="B21" s="1750" t="s">
        <v>2356</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1"/>
      <c r="L21" s="3000"/>
      <c r="M21" s="2996"/>
      <c r="N21" s="2996"/>
      <c r="O21" s="2996"/>
      <c r="P21" s="3701"/>
      <c r="Q21" s="2070" t="str">
        <f>B21</f>
        <v>基础设施水平</v>
      </c>
      <c r="R21" s="1725" t="s">
        <v>25</v>
      </c>
      <c r="S21" s="1726">
        <f>F21</f>
        <v>100</v>
      </c>
      <c r="T21" s="1725" t="s">
        <v>25</v>
      </c>
      <c r="U21" s="1726">
        <f>H21</f>
        <v>100</v>
      </c>
      <c r="V21" s="1725" t="s">
        <v>25</v>
      </c>
      <c r="W21" s="1726">
        <f>J21</f>
        <v>100</v>
      </c>
      <c r="X21" s="2073"/>
      <c r="Y21" s="3703"/>
      <c r="Z21" s="2077" t="str">
        <f>Q21</f>
        <v>基础设施水平</v>
      </c>
      <c r="AA21" s="2068">
        <f t="shared" ref="AA21" si="8">D21/F21</f>
        <v>1</v>
      </c>
      <c r="AB21" s="2068">
        <f t="shared" ref="AB21" si="9">D21/H21</f>
        <v>1</v>
      </c>
      <c r="AC21" s="2068">
        <f t="shared" ref="AC21" si="10">D21/J21</f>
        <v>1</v>
      </c>
    </row>
    <row r="22" spans="1:29" ht="15">
      <c r="A22" s="1702"/>
      <c r="B22" s="1750"/>
      <c r="C22" s="1744"/>
      <c r="D22" s="1731"/>
      <c r="E22" s="1730"/>
      <c r="F22" s="1733"/>
      <c r="G22" s="1730"/>
      <c r="H22" s="1731"/>
      <c r="I22" s="1730"/>
      <c r="J22" s="1731"/>
      <c r="K22" s="2473"/>
      <c r="L22" s="3000"/>
      <c r="M22" s="2996"/>
      <c r="N22" s="2996"/>
      <c r="O22" s="2996"/>
      <c r="P22" s="3701"/>
      <c r="Q22" s="2070"/>
      <c r="R22" s="1725"/>
      <c r="S22" s="1726"/>
      <c r="T22" s="1725"/>
      <c r="U22" s="1726"/>
      <c r="V22" s="1725"/>
      <c r="W22" s="1726"/>
      <c r="X22" s="2073"/>
      <c r="Y22" s="3703"/>
      <c r="Z22" s="2077"/>
      <c r="AA22" s="2068">
        <v>1</v>
      </c>
      <c r="AB22" s="2068">
        <v>1</v>
      </c>
      <c r="AC22" s="2068">
        <v>1</v>
      </c>
    </row>
    <row r="23" spans="1:29" ht="128.25">
      <c r="A23" s="1702"/>
      <c r="B23" s="1737" t="s">
        <v>1707</v>
      </c>
      <c r="C23" s="2474" t="str">
        <f>估价对象房地状况!C9</f>
        <v>区域自然环境：惠水湾森林公园（2019）、百子湾绿地公园（2019）；人文环境：北京政法职业学院(杨闸校区)；综合评价环境状况较好</v>
      </c>
      <c r="D23" s="1735">
        <v>100</v>
      </c>
      <c r="E23" s="1739"/>
      <c r="F23" s="1740">
        <f>SUMIF(84:84,E24,85:85)-SUMIF(84:84,C24,85:85)+100</f>
        <v>100</v>
      </c>
      <c r="G23" s="1741"/>
      <c r="H23" s="1735">
        <f>SUMIF(84:84,G24,85:85)-SUMIF(84:84,C24,85:85)+100</f>
        <v>100</v>
      </c>
      <c r="I23" s="1739"/>
      <c r="J23" s="1735">
        <f>SUMIF(84:84,I24,85:85)-SUMIF(84:84,C24,85:85)+100</f>
        <v>100</v>
      </c>
      <c r="K23" s="2471"/>
      <c r="L23" s="3000"/>
      <c r="M23" s="2996"/>
      <c r="N23" s="2996"/>
      <c r="O23" s="2996"/>
      <c r="P23" s="3701"/>
      <c r="Q23" s="2070" t="str">
        <f>B23</f>
        <v>自然及人文环境</v>
      </c>
      <c r="R23" s="1725" t="s">
        <v>25</v>
      </c>
      <c r="S23" s="1726">
        <f>F23</f>
        <v>100</v>
      </c>
      <c r="T23" s="1725" t="s">
        <v>25</v>
      </c>
      <c r="U23" s="1726">
        <f>H23</f>
        <v>100</v>
      </c>
      <c r="V23" s="1725" t="s">
        <v>25</v>
      </c>
      <c r="W23" s="1726">
        <f>J23</f>
        <v>100</v>
      </c>
      <c r="X23" s="2073"/>
      <c r="Y23" s="3703"/>
      <c r="Z23" s="2077" t="str">
        <f>Q23</f>
        <v>自然及人文环境</v>
      </c>
      <c r="AA23" s="2068">
        <f t="shared" si="3"/>
        <v>1</v>
      </c>
      <c r="AB23" s="2068">
        <f t="shared" si="4"/>
        <v>1</v>
      </c>
      <c r="AC23" s="2068">
        <f t="shared" si="5"/>
        <v>1</v>
      </c>
    </row>
    <row r="24" spans="1:29" ht="15">
      <c r="A24" s="1702"/>
      <c r="B24" s="1743"/>
      <c r="C24" s="1730"/>
      <c r="D24" s="1731"/>
      <c r="E24" s="1732"/>
      <c r="F24" s="1733"/>
      <c r="G24" s="1734"/>
      <c r="H24" s="1731"/>
      <c r="I24" s="1732"/>
      <c r="J24" s="1731"/>
      <c r="K24" s="2472"/>
      <c r="L24" s="3000"/>
      <c r="M24" s="2996"/>
      <c r="N24" s="2996"/>
      <c r="O24" s="2996"/>
      <c r="P24" s="3701"/>
      <c r="Q24" s="2070"/>
      <c r="R24" s="1725"/>
      <c r="S24" s="1726"/>
      <c r="T24" s="1725"/>
      <c r="U24" s="1726"/>
      <c r="V24" s="1725"/>
      <c r="W24" s="1726"/>
      <c r="X24" s="2073"/>
      <c r="Y24" s="3703"/>
      <c r="Z24" s="2077"/>
      <c r="AA24" s="2068">
        <v>1</v>
      </c>
      <c r="AB24" s="2068">
        <v>1</v>
      </c>
      <c r="AC24" s="2068">
        <v>1</v>
      </c>
    </row>
    <row r="25" spans="1:29" ht="15">
      <c r="A25" s="1702"/>
      <c r="B25" s="1695" t="s">
        <v>2357</v>
      </c>
      <c r="C25" s="1990"/>
      <c r="D25" s="1711">
        <v>100</v>
      </c>
      <c r="E25" s="1990"/>
      <c r="F25" s="1754">
        <f>SUMIF(86:86,E25,87:87)-SUMIF(86:86,C25,87:87)+100</f>
        <v>100</v>
      </c>
      <c r="G25" s="1990"/>
      <c r="H25" s="1711">
        <f>SUMIF(86:86,G25,87:87)-SUMIF(86:86,C25,87:87)+100</f>
        <v>100</v>
      </c>
      <c r="I25" s="1990"/>
      <c r="J25" s="1711">
        <f>SUMIF(86:86,I25,87:87)-SUMIF(86:86,C25,87:87)+100</f>
        <v>100</v>
      </c>
      <c r="K25" s="1991"/>
      <c r="L25" s="3000"/>
      <c r="M25" s="2996"/>
      <c r="N25" s="2996"/>
      <c r="O25" s="2996"/>
      <c r="P25" s="3701"/>
      <c r="Q25" s="2070" t="str">
        <f t="shared" ref="Q25:Q46" si="11">B25</f>
        <v>临街状况</v>
      </c>
      <c r="R25" s="1725" t="s">
        <v>25</v>
      </c>
      <c r="S25" s="1726">
        <f>F25</f>
        <v>100</v>
      </c>
      <c r="T25" s="1725" t="s">
        <v>25</v>
      </c>
      <c r="U25" s="1726">
        <f>H25</f>
        <v>100</v>
      </c>
      <c r="V25" s="1725" t="s">
        <v>25</v>
      </c>
      <c r="W25" s="1726">
        <f>J25</f>
        <v>100</v>
      </c>
      <c r="X25" s="2073"/>
      <c r="Y25" s="3703"/>
      <c r="Z25" s="2077" t="str">
        <f>Q25</f>
        <v>临街状况</v>
      </c>
      <c r="AA25" s="2068">
        <f t="shared" si="3"/>
        <v>1</v>
      </c>
      <c r="AB25" s="2068">
        <f t="shared" si="4"/>
        <v>1</v>
      </c>
      <c r="AC25" s="2068">
        <f t="shared" si="5"/>
        <v>1</v>
      </c>
    </row>
    <row r="26" spans="1:29" ht="15">
      <c r="A26" s="1702"/>
      <c r="B26" s="1760" t="s">
        <v>2358</v>
      </c>
      <c r="C26" s="1710"/>
      <c r="D26" s="1711">
        <v>100</v>
      </c>
      <c r="E26" s="1710"/>
      <c r="F26" s="1754">
        <f>SUMIF(88:88,E26,89:89)-SUMIF(88:88,C26,89:89)+100</f>
        <v>100</v>
      </c>
      <c r="G26" s="1710"/>
      <c r="H26" s="1711">
        <f>SUMIF(88:88,G26,89:89)-SUMIF(88:88,C26,89:89)+100</f>
        <v>100</v>
      </c>
      <c r="I26" s="1710"/>
      <c r="J26" s="1711">
        <f>SUMIF(88:88,I26,89:89)-SUMIF(88:88,C26,89:89)+100</f>
        <v>100</v>
      </c>
      <c r="K26" s="1988"/>
      <c r="L26" s="3000"/>
      <c r="M26" s="2996"/>
      <c r="N26" s="2996"/>
      <c r="O26" s="2996"/>
      <c r="P26" s="3701"/>
      <c r="Q26" s="2070" t="str">
        <f t="shared" si="11"/>
        <v>平面位置/可视性</v>
      </c>
      <c r="R26" s="1725" t="s">
        <v>25</v>
      </c>
      <c r="S26" s="1726">
        <f>F26</f>
        <v>100</v>
      </c>
      <c r="T26" s="1725" t="s">
        <v>25</v>
      </c>
      <c r="U26" s="1726">
        <f>H26</f>
        <v>100</v>
      </c>
      <c r="V26" s="1725" t="s">
        <v>25</v>
      </c>
      <c r="W26" s="1726">
        <f>J26</f>
        <v>100</v>
      </c>
      <c r="X26" s="2073"/>
      <c r="Y26" s="3703"/>
      <c r="Z26" s="2077" t="str">
        <f>Q26</f>
        <v>平面位置/可视性</v>
      </c>
      <c r="AA26" s="2068">
        <f t="shared" si="3"/>
        <v>1</v>
      </c>
      <c r="AB26" s="2068">
        <f t="shared" si="4"/>
        <v>1</v>
      </c>
      <c r="AC26" s="2068">
        <f t="shared" si="5"/>
        <v>1</v>
      </c>
    </row>
    <row r="27" spans="1:29" s="1685" customFormat="1" ht="15">
      <c r="A27" s="1705"/>
      <c r="B27" s="1737" t="s">
        <v>2359</v>
      </c>
      <c r="C27" s="2475"/>
      <c r="D27" s="1756">
        <v>100</v>
      </c>
      <c r="E27" s="2475"/>
      <c r="F27" s="1758">
        <f>SUMIF(90:90,E27,91:91)-SUMIF(90:90,C27,91:91)+100</f>
        <v>100</v>
      </c>
      <c r="G27" s="2475"/>
      <c r="H27" s="1756">
        <f>SUMIF(90:90,G27,91:91)-SUMIF(90:90,C27,91:91)+100</f>
        <v>100</v>
      </c>
      <c r="I27" s="2475"/>
      <c r="J27" s="1756">
        <f>SUMIF(90:90,I27,91:91)-SUMIF(90:90,C27,91:91)+100</f>
        <v>100</v>
      </c>
      <c r="K27" s="1991"/>
      <c r="L27" s="2995"/>
      <c r="M27" s="2968"/>
      <c r="N27" s="2968"/>
      <c r="O27" s="2968"/>
      <c r="P27" s="3701"/>
      <c r="Q27" s="2064" t="str">
        <f t="shared" si="11"/>
        <v>人流量</v>
      </c>
      <c r="R27" s="1681" t="s">
        <v>25</v>
      </c>
      <c r="S27" s="1682">
        <f>F27</f>
        <v>100</v>
      </c>
      <c r="T27" s="1681" t="s">
        <v>25</v>
      </c>
      <c r="U27" s="1682">
        <f>H27</f>
        <v>100</v>
      </c>
      <c r="V27" s="1681" t="s">
        <v>25</v>
      </c>
      <c r="W27" s="1682">
        <f>J27</f>
        <v>100</v>
      </c>
      <c r="X27" s="1683"/>
      <c r="Y27" s="3703"/>
      <c r="Z27" s="1693" t="str">
        <f>Q27</f>
        <v>人流量</v>
      </c>
      <c r="AA27" s="2068">
        <f>D27/F27</f>
        <v>1</v>
      </c>
      <c r="AB27" s="2068">
        <f>D27/H27</f>
        <v>1</v>
      </c>
      <c r="AC27" s="2068">
        <f>D27/J27</f>
        <v>1</v>
      </c>
    </row>
    <row r="28" spans="1:29" ht="15">
      <c r="A28" s="1702"/>
      <c r="B28" s="1695" t="s">
        <v>2360</v>
      </c>
      <c r="C28" s="1990"/>
      <c r="D28" s="1711">
        <v>100</v>
      </c>
      <c r="E28" s="1990"/>
      <c r="F28" s="1754">
        <f>SUMIF(92:92,E28,93:93)-SUMIF(92:92,C28,93:93)+100</f>
        <v>100</v>
      </c>
      <c r="G28" s="1990"/>
      <c r="H28" s="1711">
        <f>SUMIF(92:92,G28,93:93)-SUMIF(92:92,C28,93:93)+100</f>
        <v>100</v>
      </c>
      <c r="I28" s="1990"/>
      <c r="J28" s="1711">
        <f>SUMIF(92:92,I28,93:93)-SUMIF(92:92,C28,93:93)+100</f>
        <v>100</v>
      </c>
      <c r="K28" s="1988"/>
      <c r="L28" s="3000"/>
      <c r="M28" s="2996"/>
      <c r="N28" s="2996"/>
      <c r="O28" s="2996"/>
      <c r="P28" s="3701"/>
      <c r="Q28" s="2070" t="str">
        <f t="shared" si="11"/>
        <v>楼层</v>
      </c>
      <c r="R28" s="1725" t="s">
        <v>25</v>
      </c>
      <c r="S28" s="1726">
        <f t="shared" ref="S28:S46" si="12">F28</f>
        <v>100</v>
      </c>
      <c r="T28" s="1725" t="s">
        <v>25</v>
      </c>
      <c r="U28" s="1726">
        <f t="shared" ref="U28:U46" si="13">H28</f>
        <v>100</v>
      </c>
      <c r="V28" s="1725" t="s">
        <v>25</v>
      </c>
      <c r="W28" s="1726">
        <f t="shared" ref="W28:W46" si="14">J28</f>
        <v>100</v>
      </c>
      <c r="X28" s="2073"/>
      <c r="Y28" s="3703"/>
      <c r="Z28" s="2077" t="str">
        <f t="shared" ref="Z28:Z46" si="15">Q28</f>
        <v>楼层</v>
      </c>
      <c r="AA28" s="2068">
        <f t="shared" si="3"/>
        <v>1</v>
      </c>
      <c r="AB28" s="2068">
        <f t="shared" si="4"/>
        <v>1</v>
      </c>
      <c r="AC28" s="206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8"/>
      <c r="L29" s="3000"/>
      <c r="M29" s="2996"/>
      <c r="N29" s="2996"/>
      <c r="O29" s="2996"/>
      <c r="P29" s="3701"/>
      <c r="Q29" s="2070">
        <f t="shared" si="11"/>
        <v>111</v>
      </c>
      <c r="R29" s="1725" t="s">
        <v>25</v>
      </c>
      <c r="S29" s="1726">
        <f t="shared" si="12"/>
        <v>100</v>
      </c>
      <c r="T29" s="1725" t="s">
        <v>25</v>
      </c>
      <c r="U29" s="1726">
        <f t="shared" si="13"/>
        <v>100</v>
      </c>
      <c r="V29" s="1725" t="s">
        <v>25</v>
      </c>
      <c r="W29" s="1726">
        <f t="shared" si="14"/>
        <v>100</v>
      </c>
      <c r="X29" s="2073"/>
      <c r="Y29" s="3703"/>
      <c r="Z29" s="2077">
        <f t="shared" si="15"/>
        <v>111</v>
      </c>
      <c r="AA29" s="2068">
        <f t="shared" si="3"/>
        <v>1</v>
      </c>
      <c r="AB29" s="2068">
        <f t="shared" si="4"/>
        <v>1</v>
      </c>
      <c r="AC29" s="206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8"/>
      <c r="L30" s="3000"/>
      <c r="M30" s="2996"/>
      <c r="N30" s="2996"/>
      <c r="O30" s="2996"/>
      <c r="P30" s="3701"/>
      <c r="Q30" s="2070">
        <f t="shared" si="11"/>
        <v>111</v>
      </c>
      <c r="R30" s="1725" t="s">
        <v>25</v>
      </c>
      <c r="S30" s="1726">
        <f t="shared" si="12"/>
        <v>100</v>
      </c>
      <c r="T30" s="1725" t="s">
        <v>25</v>
      </c>
      <c r="U30" s="1726">
        <f t="shared" si="13"/>
        <v>100</v>
      </c>
      <c r="V30" s="1725" t="s">
        <v>25</v>
      </c>
      <c r="W30" s="1726">
        <f t="shared" si="14"/>
        <v>100</v>
      </c>
      <c r="X30" s="2073"/>
      <c r="Y30" s="3703"/>
      <c r="Z30" s="2077">
        <f t="shared" si="15"/>
        <v>111</v>
      </c>
      <c r="AA30" s="2068">
        <f t="shared" si="3"/>
        <v>1</v>
      </c>
      <c r="AB30" s="2068">
        <f t="shared" si="4"/>
        <v>1</v>
      </c>
      <c r="AC30" s="2068">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8"/>
      <c r="L31" s="3000"/>
      <c r="M31" s="2996"/>
      <c r="N31" s="2996"/>
      <c r="O31" s="2996"/>
      <c r="P31" s="3701"/>
      <c r="Q31" s="2070">
        <f t="shared" si="11"/>
        <v>111</v>
      </c>
      <c r="R31" s="1725" t="s">
        <v>25</v>
      </c>
      <c r="S31" s="1726">
        <f t="shared" si="12"/>
        <v>100</v>
      </c>
      <c r="T31" s="1725" t="s">
        <v>25</v>
      </c>
      <c r="U31" s="1726">
        <f t="shared" si="13"/>
        <v>100</v>
      </c>
      <c r="V31" s="1725" t="s">
        <v>25</v>
      </c>
      <c r="W31" s="1726">
        <f t="shared" si="14"/>
        <v>100</v>
      </c>
      <c r="X31" s="2073"/>
      <c r="Y31" s="3703"/>
      <c r="Z31" s="2077">
        <f t="shared" si="15"/>
        <v>111</v>
      </c>
      <c r="AA31" s="2068">
        <f t="shared" si="3"/>
        <v>1</v>
      </c>
      <c r="AB31" s="2068">
        <f t="shared" si="4"/>
        <v>1</v>
      </c>
      <c r="AC31" s="2068">
        <f t="shared" si="5"/>
        <v>1</v>
      </c>
    </row>
    <row r="32" spans="1:29" ht="15">
      <c r="A32" s="1717" t="s">
        <v>2273</v>
      </c>
      <c r="B32" s="1687" t="s">
        <v>2361</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1"/>
      <c r="L32" s="3000"/>
      <c r="M32" s="2996"/>
      <c r="N32" s="2996"/>
      <c r="O32" s="2996"/>
      <c r="P32" s="3704" t="s">
        <v>2275</v>
      </c>
      <c r="Q32" s="2070" t="str">
        <f t="shared" si="11"/>
        <v>商业类型</v>
      </c>
      <c r="R32" s="1725" t="s">
        <v>25</v>
      </c>
      <c r="S32" s="1726">
        <f t="shared" si="12"/>
        <v>100</v>
      </c>
      <c r="T32" s="1725" t="s">
        <v>25</v>
      </c>
      <c r="U32" s="1726">
        <f t="shared" si="13"/>
        <v>100</v>
      </c>
      <c r="V32" s="1725" t="s">
        <v>25</v>
      </c>
      <c r="W32" s="1726">
        <f t="shared" si="14"/>
        <v>100</v>
      </c>
      <c r="X32" s="2073"/>
      <c r="Y32" s="3707" t="s">
        <v>2275</v>
      </c>
      <c r="Z32" s="2077" t="str">
        <f t="shared" si="15"/>
        <v>商业类型</v>
      </c>
      <c r="AA32" s="2068">
        <f t="shared" si="3"/>
        <v>1</v>
      </c>
      <c r="AB32" s="2068">
        <f t="shared" si="4"/>
        <v>1</v>
      </c>
      <c r="AC32" s="2068">
        <f t="shared" si="5"/>
        <v>1</v>
      </c>
    </row>
    <row r="33" spans="1:29" s="1770" customFormat="1" ht="15">
      <c r="A33" s="1763"/>
      <c r="B33" s="1695" t="s">
        <v>2276</v>
      </c>
      <c r="C33" s="1764"/>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8"/>
      <c r="L33" s="2999"/>
      <c r="M33" s="2058"/>
      <c r="N33" s="2058"/>
      <c r="O33" s="2058"/>
      <c r="P33" s="3705"/>
      <c r="Q33" s="1765" t="str">
        <f t="shared" si="11"/>
        <v>项目建筑规模</v>
      </c>
      <c r="R33" s="1766" t="s">
        <v>25</v>
      </c>
      <c r="S33" s="1767" t="e">
        <f t="shared" si="12"/>
        <v>#N/A</v>
      </c>
      <c r="T33" s="1766" t="s">
        <v>25</v>
      </c>
      <c r="U33" s="1767" t="e">
        <f t="shared" si="13"/>
        <v>#N/A</v>
      </c>
      <c r="V33" s="1766" t="s">
        <v>25</v>
      </c>
      <c r="W33" s="1767" t="e">
        <f t="shared" si="14"/>
        <v>#N/A</v>
      </c>
      <c r="X33" s="1768"/>
      <c r="Y33" s="3707"/>
      <c r="Z33" s="1769" t="str">
        <f t="shared" si="15"/>
        <v>项目建筑规模</v>
      </c>
      <c r="AA33" s="2068" t="e">
        <f t="shared" si="3"/>
        <v>#N/A</v>
      </c>
      <c r="AB33" s="2068" t="e">
        <f t="shared" si="4"/>
        <v>#N/A</v>
      </c>
      <c r="AC33" s="2068" t="e">
        <f t="shared" si="5"/>
        <v>#N/A</v>
      </c>
    </row>
    <row r="34" spans="1:29" ht="15">
      <c r="A34" s="1771"/>
      <c r="B34" s="1695" t="s">
        <v>2277</v>
      </c>
      <c r="C34" s="1772"/>
      <c r="D34" s="1711">
        <v>100</v>
      </c>
      <c r="E34" s="1773"/>
      <c r="F34" s="1754">
        <f>SUMIF(105:105,E34,106:106)-SUMIF(105:105,C34,106:106)+100</f>
        <v>100</v>
      </c>
      <c r="G34" s="1772"/>
      <c r="H34" s="1711">
        <f>SUMIF(105:105,G34,106:106)-SUMIF(105:105,C34,106:106)+100</f>
        <v>100</v>
      </c>
      <c r="I34" s="1772"/>
      <c r="J34" s="1711">
        <f>SUMIF(105:105,I34,106:106)-SUMIF(105:105,C34,106:106)+100</f>
        <v>100</v>
      </c>
      <c r="K34" s="1991"/>
      <c r="L34" s="3000"/>
      <c r="M34" s="2996"/>
      <c r="N34" s="2996"/>
      <c r="O34" s="2996"/>
      <c r="P34" s="3705"/>
      <c r="Q34" s="2070" t="str">
        <f t="shared" si="11"/>
        <v>建筑结构</v>
      </c>
      <c r="R34" s="1725" t="s">
        <v>25</v>
      </c>
      <c r="S34" s="1726">
        <f t="shared" si="12"/>
        <v>100</v>
      </c>
      <c r="T34" s="1725" t="s">
        <v>25</v>
      </c>
      <c r="U34" s="1726">
        <f t="shared" si="13"/>
        <v>100</v>
      </c>
      <c r="V34" s="1725" t="s">
        <v>25</v>
      </c>
      <c r="W34" s="1726">
        <f t="shared" si="14"/>
        <v>100</v>
      </c>
      <c r="X34" s="2073"/>
      <c r="Y34" s="3707"/>
      <c r="Z34" s="2077" t="str">
        <f t="shared" si="15"/>
        <v>建筑结构</v>
      </c>
      <c r="AA34" s="2068">
        <f t="shared" si="3"/>
        <v>1</v>
      </c>
      <c r="AB34" s="2068">
        <f t="shared" si="4"/>
        <v>1</v>
      </c>
      <c r="AC34" s="2068">
        <f t="shared" si="5"/>
        <v>1</v>
      </c>
    </row>
    <row r="35" spans="1:29" ht="15">
      <c r="A35" s="1771"/>
      <c r="B35" s="1695" t="s">
        <v>2362</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1"/>
      <c r="L35" s="3000"/>
      <c r="M35" s="2996"/>
      <c r="N35" s="2996"/>
      <c r="O35" s="2996"/>
      <c r="P35" s="3705"/>
      <c r="Q35" s="2070" t="str">
        <f t="shared" si="11"/>
        <v>公共部分装修</v>
      </c>
      <c r="R35" s="1725" t="s">
        <v>25</v>
      </c>
      <c r="S35" s="1726">
        <f t="shared" si="12"/>
        <v>100</v>
      </c>
      <c r="T35" s="1725" t="s">
        <v>25</v>
      </c>
      <c r="U35" s="1726">
        <f t="shared" si="13"/>
        <v>100</v>
      </c>
      <c r="V35" s="1725" t="s">
        <v>25</v>
      </c>
      <c r="W35" s="1726">
        <f t="shared" si="14"/>
        <v>100</v>
      </c>
      <c r="X35" s="2073"/>
      <c r="Y35" s="3707"/>
      <c r="Z35" s="2077" t="str">
        <f t="shared" si="15"/>
        <v>公共部分装修</v>
      </c>
      <c r="AA35" s="2068">
        <f t="shared" si="3"/>
        <v>1</v>
      </c>
      <c r="AB35" s="2068">
        <f t="shared" si="4"/>
        <v>1</v>
      </c>
      <c r="AC35" s="2068">
        <f t="shared" si="5"/>
        <v>1</v>
      </c>
    </row>
    <row r="36" spans="1:29" ht="15">
      <c r="A36" s="1771"/>
      <c r="B36" s="1695" t="s">
        <v>2363</v>
      </c>
      <c r="C36" s="1775"/>
      <c r="D36" s="1711">
        <v>100</v>
      </c>
      <c r="E36" s="1775"/>
      <c r="F36" s="1754" t="e">
        <f>LOOKUP(E36,110:110,111:111)-LOOKUP(C36,110:110,111:111)+100</f>
        <v>#N/A</v>
      </c>
      <c r="G36" s="1775"/>
      <c r="H36" s="1754" t="e">
        <f>LOOKUP(G36,110:110,111:111)-LOOKUP(C36,110:110,111:111)+100</f>
        <v>#N/A</v>
      </c>
      <c r="I36" s="1775"/>
      <c r="J36" s="1711" t="e">
        <f>LOOKUP(I36,110:110,111:111)-LOOKUP(C36,110:110,111:111)+100</f>
        <v>#N/A</v>
      </c>
      <c r="K36" s="1991"/>
      <c r="L36" s="3000"/>
      <c r="M36" s="2996"/>
      <c r="N36" s="2996"/>
      <c r="O36" s="2996"/>
      <c r="P36" s="3705"/>
      <c r="Q36" s="2070" t="str">
        <f t="shared" si="11"/>
        <v>成新度</v>
      </c>
      <c r="R36" s="1725" t="s">
        <v>25</v>
      </c>
      <c r="S36" s="1726" t="e">
        <f t="shared" si="12"/>
        <v>#N/A</v>
      </c>
      <c r="T36" s="1725" t="s">
        <v>25</v>
      </c>
      <c r="U36" s="1726" t="e">
        <f t="shared" si="13"/>
        <v>#N/A</v>
      </c>
      <c r="V36" s="1725" t="s">
        <v>25</v>
      </c>
      <c r="W36" s="1726" t="e">
        <f t="shared" si="14"/>
        <v>#N/A</v>
      </c>
      <c r="X36" s="2073"/>
      <c r="Y36" s="3707"/>
      <c r="Z36" s="2077" t="str">
        <f t="shared" si="15"/>
        <v>成新度</v>
      </c>
      <c r="AA36" s="2068" t="e">
        <f t="shared" si="3"/>
        <v>#N/A</v>
      </c>
      <c r="AB36" s="2068" t="e">
        <f t="shared" si="4"/>
        <v>#N/A</v>
      </c>
      <c r="AC36" s="2068" t="e">
        <f t="shared" si="5"/>
        <v>#N/A</v>
      </c>
    </row>
    <row r="37" spans="1:29" s="1685" customFormat="1" ht="15">
      <c r="A37" s="1774"/>
      <c r="B37" s="1695" t="s">
        <v>2364</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1"/>
      <c r="L37" s="2995"/>
      <c r="M37" s="2968"/>
      <c r="N37" s="2968"/>
      <c r="O37" s="2968"/>
      <c r="P37" s="3705"/>
      <c r="Q37" s="2064" t="str">
        <f t="shared" si="11"/>
        <v>市政基础设施</v>
      </c>
      <c r="R37" s="1681" t="s">
        <v>25</v>
      </c>
      <c r="S37" s="1682">
        <f t="shared" si="12"/>
        <v>100</v>
      </c>
      <c r="T37" s="1681" t="s">
        <v>25</v>
      </c>
      <c r="U37" s="1682">
        <f t="shared" si="13"/>
        <v>100</v>
      </c>
      <c r="V37" s="1681" t="s">
        <v>25</v>
      </c>
      <c r="W37" s="1682">
        <f t="shared" si="14"/>
        <v>100</v>
      </c>
      <c r="X37" s="1683"/>
      <c r="Y37" s="3707"/>
      <c r="Z37" s="1693" t="str">
        <f t="shared" si="15"/>
        <v>市政基础设施</v>
      </c>
      <c r="AA37" s="1684">
        <f t="shared" si="3"/>
        <v>1</v>
      </c>
      <c r="AB37" s="1684">
        <f t="shared" si="4"/>
        <v>1</v>
      </c>
      <c r="AC37" s="1684">
        <f t="shared" si="5"/>
        <v>1</v>
      </c>
    </row>
    <row r="38" spans="1:29" ht="15">
      <c r="A38" s="1771"/>
      <c r="B38" s="1695" t="s">
        <v>2365</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1"/>
      <c r="L38" s="3000"/>
      <c r="M38" s="2996"/>
      <c r="N38" s="2996"/>
      <c r="O38" s="2996"/>
      <c r="P38" s="3705" t="s">
        <v>2275</v>
      </c>
      <c r="Q38" s="2070" t="str">
        <f t="shared" si="11"/>
        <v>业态</v>
      </c>
      <c r="R38" s="1725" t="s">
        <v>25</v>
      </c>
      <c r="S38" s="1726">
        <f t="shared" si="12"/>
        <v>100</v>
      </c>
      <c r="T38" s="1725" t="s">
        <v>25</v>
      </c>
      <c r="U38" s="1726">
        <f t="shared" si="13"/>
        <v>100</v>
      </c>
      <c r="V38" s="1725" t="s">
        <v>25</v>
      </c>
      <c r="W38" s="1726">
        <f t="shared" si="14"/>
        <v>100</v>
      </c>
      <c r="X38" s="2073"/>
      <c r="Y38" s="3707" t="s">
        <v>2275</v>
      </c>
      <c r="Z38" s="2077" t="str">
        <f t="shared" si="15"/>
        <v>业态</v>
      </c>
      <c r="AA38" s="2068">
        <f t="shared" si="3"/>
        <v>1</v>
      </c>
      <c r="AB38" s="2068">
        <f t="shared" si="4"/>
        <v>1</v>
      </c>
      <c r="AC38" s="2068">
        <f t="shared" si="5"/>
        <v>1</v>
      </c>
    </row>
    <row r="39" spans="1:29" ht="15">
      <c r="A39" s="1771"/>
      <c r="B39" s="1695" t="s">
        <v>2366</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1"/>
      <c r="L39" s="3000"/>
      <c r="M39" s="2996"/>
      <c r="N39" s="2996"/>
      <c r="O39" s="2996"/>
      <c r="P39" s="3705"/>
      <c r="Q39" s="2070" t="str">
        <f t="shared" si="11"/>
        <v>层高</v>
      </c>
      <c r="R39" s="1725" t="s">
        <v>25</v>
      </c>
      <c r="S39" s="1726">
        <f t="shared" si="12"/>
        <v>100</v>
      </c>
      <c r="T39" s="1725" t="s">
        <v>25</v>
      </c>
      <c r="U39" s="1726">
        <f t="shared" si="13"/>
        <v>100</v>
      </c>
      <c r="V39" s="1725" t="s">
        <v>25</v>
      </c>
      <c r="W39" s="1726">
        <f t="shared" si="14"/>
        <v>100</v>
      </c>
      <c r="X39" s="2073"/>
      <c r="Y39" s="3707"/>
      <c r="Z39" s="2077" t="str">
        <f t="shared" si="15"/>
        <v>层高</v>
      </c>
      <c r="AA39" s="2068">
        <f t="shared" si="3"/>
        <v>1</v>
      </c>
      <c r="AB39" s="2068">
        <f t="shared" si="4"/>
        <v>1</v>
      </c>
      <c r="AC39" s="2068">
        <f t="shared" si="5"/>
        <v>1</v>
      </c>
    </row>
    <row r="40" spans="1:29" ht="15">
      <c r="A40" s="1771"/>
      <c r="B40" s="1695" t="s">
        <v>2367</v>
      </c>
      <c r="C40" s="2476"/>
      <c r="D40" s="1711">
        <v>100</v>
      </c>
      <c r="E40" s="2477"/>
      <c r="F40" s="1754">
        <f>SUMIF(118:118,E40,119:119)-SUMIF(118:118,C40,119:119)+100</f>
        <v>100</v>
      </c>
      <c r="G40" s="2477"/>
      <c r="H40" s="1711">
        <f>SUMIF(118:118,G40,119:119)-SUMIF(118:118,C40,119:119)+100</f>
        <v>100</v>
      </c>
      <c r="I40" s="2477"/>
      <c r="J40" s="1711">
        <f>SUMIF(118:118,I40,119:119)-SUMIF(118:118,C40,119:119)+100</f>
        <v>100</v>
      </c>
      <c r="K40" s="1988"/>
      <c r="L40" s="3000"/>
      <c r="M40" s="2996"/>
      <c r="N40" s="2996"/>
      <c r="O40" s="2996"/>
      <c r="P40" s="3705"/>
      <c r="Q40" s="2070" t="str">
        <f t="shared" si="11"/>
        <v>单套建筑面积</v>
      </c>
      <c r="R40" s="1725" t="s">
        <v>25</v>
      </c>
      <c r="S40" s="1726">
        <f t="shared" si="12"/>
        <v>100</v>
      </c>
      <c r="T40" s="1725" t="s">
        <v>25</v>
      </c>
      <c r="U40" s="1726">
        <f t="shared" si="13"/>
        <v>100</v>
      </c>
      <c r="V40" s="1725" t="s">
        <v>25</v>
      </c>
      <c r="W40" s="1726">
        <f t="shared" si="14"/>
        <v>100</v>
      </c>
      <c r="X40" s="2073"/>
      <c r="Y40" s="3707"/>
      <c r="Z40" s="2077" t="str">
        <f t="shared" si="15"/>
        <v>单套建筑面积</v>
      </c>
      <c r="AA40" s="2068">
        <f t="shared" si="3"/>
        <v>1</v>
      </c>
      <c r="AB40" s="2068">
        <f t="shared" si="4"/>
        <v>1</v>
      </c>
      <c r="AC40" s="2068">
        <f t="shared" si="5"/>
        <v>1</v>
      </c>
    </row>
    <row r="41" spans="1:29" s="1770" customFormat="1" ht="15">
      <c r="A41" s="1763"/>
      <c r="B41" s="2069" t="s">
        <v>2368</v>
      </c>
      <c r="C41" s="1990"/>
      <c r="D41" s="1711">
        <v>100</v>
      </c>
      <c r="E41" s="1990"/>
      <c r="F41" s="1754">
        <f>SUMIF(120:120,E41,121:121)-SUMIF(120:120,C41,121:121)+100</f>
        <v>100</v>
      </c>
      <c r="G41" s="1990"/>
      <c r="H41" s="1711">
        <f>SUMIF(120:120,G41,121:121)-SUMIF(120:120,C41,121:121)+100</f>
        <v>100</v>
      </c>
      <c r="I41" s="1990"/>
      <c r="J41" s="1711">
        <f>SUMIF(120:120,I41,121:121)-SUMIF(120:120,C41,121:121)+100</f>
        <v>100</v>
      </c>
      <c r="K41" s="1991"/>
      <c r="L41" s="2999"/>
      <c r="M41" s="2058"/>
      <c r="N41" s="2058"/>
      <c r="O41" s="2058"/>
      <c r="P41" s="3705"/>
      <c r="Q41" s="1765" t="str">
        <f t="shared" si="11"/>
        <v>进深比</v>
      </c>
      <c r="R41" s="1766" t="s">
        <v>25</v>
      </c>
      <c r="S41" s="1767">
        <f t="shared" si="12"/>
        <v>100</v>
      </c>
      <c r="T41" s="1766" t="s">
        <v>25</v>
      </c>
      <c r="U41" s="1767">
        <f t="shared" si="13"/>
        <v>100</v>
      </c>
      <c r="V41" s="1766" t="s">
        <v>25</v>
      </c>
      <c r="W41" s="1767">
        <f t="shared" si="14"/>
        <v>100</v>
      </c>
      <c r="X41" s="1768"/>
      <c r="Y41" s="3707"/>
      <c r="Z41" s="1769" t="str">
        <f t="shared" si="15"/>
        <v>进深比</v>
      </c>
      <c r="AA41" s="2068">
        <f t="shared" si="3"/>
        <v>1</v>
      </c>
      <c r="AB41" s="2068">
        <f t="shared" si="4"/>
        <v>1</v>
      </c>
      <c r="AC41" s="2068">
        <f t="shared" si="5"/>
        <v>1</v>
      </c>
    </row>
    <row r="42" spans="1:29" ht="15">
      <c r="A42" s="1771"/>
      <c r="B42" s="1695" t="s">
        <v>2369</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1"/>
      <c r="L42" s="3000"/>
      <c r="M42" s="2996"/>
      <c r="N42" s="2996"/>
      <c r="O42" s="2996"/>
      <c r="P42" s="3705"/>
      <c r="Q42" s="2070" t="str">
        <f t="shared" si="11"/>
        <v>内部装修</v>
      </c>
      <c r="R42" s="1725" t="s">
        <v>25</v>
      </c>
      <c r="S42" s="1726">
        <f t="shared" si="12"/>
        <v>100</v>
      </c>
      <c r="T42" s="1725" t="s">
        <v>25</v>
      </c>
      <c r="U42" s="1726">
        <f t="shared" si="13"/>
        <v>100</v>
      </c>
      <c r="V42" s="1725" t="s">
        <v>25</v>
      </c>
      <c r="W42" s="1726">
        <f t="shared" si="14"/>
        <v>100</v>
      </c>
      <c r="X42" s="2073"/>
      <c r="Y42" s="3707"/>
      <c r="Z42" s="2077" t="str">
        <f t="shared" si="15"/>
        <v>内部装修</v>
      </c>
      <c r="AA42" s="2068">
        <f t="shared" si="3"/>
        <v>1</v>
      </c>
      <c r="AB42" s="2068">
        <f t="shared" si="4"/>
        <v>1</v>
      </c>
      <c r="AC42" s="2068">
        <f t="shared" si="5"/>
        <v>1</v>
      </c>
    </row>
    <row r="43" spans="1:29" ht="15">
      <c r="A43" s="1771"/>
      <c r="B43" s="1695" t="s">
        <v>2286</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1"/>
      <c r="L43" s="3000"/>
      <c r="M43" s="2996"/>
      <c r="N43" s="2996"/>
      <c r="O43" s="2996"/>
      <c r="P43" s="3705"/>
      <c r="Q43" s="2070" t="str">
        <f t="shared" si="11"/>
        <v>内部装修维护情况</v>
      </c>
      <c r="R43" s="1725" t="s">
        <v>25</v>
      </c>
      <c r="S43" s="1726">
        <f t="shared" si="12"/>
        <v>100</v>
      </c>
      <c r="T43" s="1725" t="s">
        <v>25</v>
      </c>
      <c r="U43" s="1726">
        <f t="shared" si="13"/>
        <v>100</v>
      </c>
      <c r="V43" s="1725" t="s">
        <v>25</v>
      </c>
      <c r="W43" s="1726">
        <f t="shared" si="14"/>
        <v>100</v>
      </c>
      <c r="X43" s="2073"/>
      <c r="Y43" s="3707"/>
      <c r="Z43" s="2077" t="str">
        <f t="shared" si="15"/>
        <v>内部装修维护情况</v>
      </c>
      <c r="AA43" s="2068">
        <f t="shared" si="3"/>
        <v>1</v>
      </c>
      <c r="AB43" s="2068">
        <f t="shared" si="4"/>
        <v>1</v>
      </c>
      <c r="AC43" s="2068">
        <f t="shared" si="5"/>
        <v>1</v>
      </c>
    </row>
    <row r="44" spans="1:29" s="1685"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8"/>
      <c r="L44" s="2995"/>
      <c r="M44" s="2968"/>
      <c r="N44" s="2968"/>
      <c r="O44" s="2968"/>
      <c r="P44" s="3705"/>
      <c r="Q44" s="2064">
        <f t="shared" si="11"/>
        <v>111</v>
      </c>
      <c r="R44" s="1681" t="s">
        <v>25</v>
      </c>
      <c r="S44" s="1682">
        <f t="shared" si="12"/>
        <v>100</v>
      </c>
      <c r="T44" s="1681" t="s">
        <v>25</v>
      </c>
      <c r="U44" s="1682">
        <f t="shared" si="13"/>
        <v>100</v>
      </c>
      <c r="V44" s="1681" t="s">
        <v>25</v>
      </c>
      <c r="W44" s="1682">
        <f t="shared" si="14"/>
        <v>100</v>
      </c>
      <c r="X44" s="1683"/>
      <c r="Y44" s="3707"/>
      <c r="Z44" s="1693">
        <f t="shared" si="15"/>
        <v>111</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8"/>
      <c r="L45" s="3000"/>
      <c r="M45" s="2996"/>
      <c r="N45" s="2996"/>
      <c r="O45" s="2996"/>
      <c r="P45" s="3705"/>
      <c r="Q45" s="2070">
        <f t="shared" si="11"/>
        <v>111</v>
      </c>
      <c r="R45" s="1725" t="s">
        <v>25</v>
      </c>
      <c r="S45" s="1726">
        <f t="shared" si="12"/>
        <v>100</v>
      </c>
      <c r="T45" s="1725" t="s">
        <v>25</v>
      </c>
      <c r="U45" s="1726">
        <f t="shared" si="13"/>
        <v>100</v>
      </c>
      <c r="V45" s="1725" t="s">
        <v>25</v>
      </c>
      <c r="W45" s="1726">
        <f t="shared" si="14"/>
        <v>100</v>
      </c>
      <c r="X45" s="2073"/>
      <c r="Y45" s="3707"/>
      <c r="Z45" s="2077">
        <f t="shared" si="15"/>
        <v>111</v>
      </c>
      <c r="AA45" s="2068">
        <f t="shared" si="3"/>
        <v>1</v>
      </c>
      <c r="AB45" s="2068">
        <f t="shared" si="4"/>
        <v>1</v>
      </c>
      <c r="AC45" s="2068">
        <f t="shared" si="5"/>
        <v>1</v>
      </c>
    </row>
    <row r="46" spans="1:29" ht="15.75" thickBot="1">
      <c r="A46" s="1779"/>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8"/>
      <c r="L46" s="3000"/>
      <c r="M46" s="2996"/>
      <c r="N46" s="2996"/>
      <c r="O46" s="2996"/>
      <c r="P46" s="3706"/>
      <c r="Q46" s="2070">
        <f t="shared" si="11"/>
        <v>111</v>
      </c>
      <c r="R46" s="1725" t="s">
        <v>25</v>
      </c>
      <c r="S46" s="1726">
        <f t="shared" si="12"/>
        <v>100</v>
      </c>
      <c r="T46" s="1725" t="s">
        <v>25</v>
      </c>
      <c r="U46" s="1726">
        <f t="shared" si="13"/>
        <v>100</v>
      </c>
      <c r="V46" s="1725" t="s">
        <v>25</v>
      </c>
      <c r="W46" s="1726">
        <f t="shared" si="14"/>
        <v>100</v>
      </c>
      <c r="X46" s="2073"/>
      <c r="Y46" s="3708"/>
      <c r="Z46" s="2077">
        <f t="shared" si="15"/>
        <v>111</v>
      </c>
      <c r="AA46" s="2068">
        <f t="shared" si="3"/>
        <v>1</v>
      </c>
      <c r="AB46" s="2068">
        <f t="shared" si="4"/>
        <v>1</v>
      </c>
      <c r="AC46" s="2068">
        <f t="shared" si="5"/>
        <v>1</v>
      </c>
    </row>
    <row r="47" spans="1:29" ht="15">
      <c r="A47" s="1780" t="s">
        <v>2287</v>
      </c>
      <c r="B47" s="1781"/>
      <c r="C47" s="1782" t="s">
        <v>1</v>
      </c>
      <c r="D47" s="1783"/>
      <c r="E47" s="1784"/>
      <c r="F47" s="1785"/>
      <c r="G47" s="1786"/>
      <c r="H47" s="1787"/>
      <c r="I47" s="1784"/>
      <c r="J47" s="1787"/>
      <c r="K47" s="2012"/>
      <c r="L47" s="3001"/>
      <c r="N47" s="2996"/>
      <c r="P47" s="3699" t="str">
        <f>A47</f>
        <v>成交单价（元/平方米）</v>
      </c>
      <c r="Q47" s="3699"/>
      <c r="R47" s="3695">
        <f>E47</f>
        <v>0</v>
      </c>
      <c r="S47" s="3695"/>
      <c r="T47" s="3695">
        <f>G47</f>
        <v>0</v>
      </c>
      <c r="U47" s="3695"/>
      <c r="V47" s="3695">
        <f>I47</f>
        <v>0</v>
      </c>
      <c r="W47" s="3695"/>
      <c r="X47" s="1790"/>
      <c r="Y47" s="2072"/>
      <c r="Z47" s="1790"/>
      <c r="AA47" s="1790"/>
      <c r="AB47" s="1790"/>
      <c r="AC47" s="1790"/>
    </row>
    <row r="48" spans="1:29" ht="15.75" thickBot="1">
      <c r="A48" s="1792" t="s">
        <v>2370</v>
      </c>
      <c r="B48" s="1793"/>
      <c r="C48" s="1794" t="e">
        <f>R49</f>
        <v>#DIV/0!</v>
      </c>
      <c r="D48" s="1795" t="s">
        <v>2744</v>
      </c>
      <c r="E48" s="1796" t="e">
        <f>R48</f>
        <v>#DIV/0!</v>
      </c>
      <c r="F48" s="1797"/>
      <c r="G48" s="1794" t="e">
        <f>T48</f>
        <v>#DIV/0!</v>
      </c>
      <c r="H48" s="1797"/>
      <c r="I48" s="1796" t="e">
        <f>V48</f>
        <v>#DIV/0!</v>
      </c>
      <c r="J48" s="1797"/>
      <c r="K48" s="2509">
        <f>F48+H48+J48</f>
        <v>0</v>
      </c>
      <c r="L48" s="3001"/>
      <c r="N48" s="2996"/>
      <c r="P48" s="3699" t="str">
        <f>A48</f>
        <v>比较价值（元/平方米）</v>
      </c>
      <c r="Q48" s="3699"/>
      <c r="R48" s="3695" t="e">
        <f>IF(E1="售价",ROUND(PRODUCT(R47,AA7:AA46),0),ROUND(PRODUCT(R47,AA7:AA46),1))</f>
        <v>#DIV/0!</v>
      </c>
      <c r="S48" s="3695"/>
      <c r="T48" s="3695" t="e">
        <f>IF(E1="售价",ROUND(PRODUCT(T47,AB7:AB46),0),ROUND(PRODUCT(T47,AB7:AB46),1))</f>
        <v>#DIV/0!</v>
      </c>
      <c r="U48" s="3695"/>
      <c r="V48" s="3695" t="e">
        <f>IF(E1="售价",ROUND(PRODUCT(V47,AC7:AC46),0),ROUND(PRODUCT(V47,AC7:AC46),1))</f>
        <v>#DIV/0!</v>
      </c>
      <c r="W48" s="3695"/>
      <c r="X48" s="1790"/>
      <c r="Y48" s="1790"/>
      <c r="Z48" s="1790"/>
      <c r="AA48" s="1790"/>
      <c r="AB48" s="1790"/>
      <c r="AC48" s="1790"/>
    </row>
    <row r="49" spans="1:29" ht="15.75" thickBot="1">
      <c r="A49" s="1798" t="s">
        <v>2371</v>
      </c>
      <c r="B49" s="1799"/>
      <c r="C49" s="1801" t="e">
        <f>R49</f>
        <v>#DIV/0!</v>
      </c>
      <c r="D49" s="1801"/>
      <c r="E49" s="1801"/>
      <c r="F49" s="1801"/>
      <c r="G49" s="1801"/>
      <c r="H49" s="1801"/>
      <c r="I49" s="1801"/>
      <c r="J49" s="1801"/>
      <c r="K49" s="2017"/>
      <c r="L49" s="3001"/>
      <c r="N49" s="2996"/>
      <c r="P49" s="3696" t="str">
        <f>A49</f>
        <v>估价对象XX用房的比较价值（楼面单价，元/平方米）</v>
      </c>
      <c r="Q49" s="3697"/>
      <c r="R49" s="3698" t="e">
        <f>IF(E1="售价",ROUND(IF(D48="简单平均",AVERAGE(R48:V48),R48*F48+T48*H48+V48*J48),0),ROUND(IF(D48="简单平均",AVERAGE(R48:V48),R48*F48+T48*H48+V48*J48),1))</f>
        <v>#DIV/0!</v>
      </c>
      <c r="S49" s="3698"/>
      <c r="T49" s="3698"/>
      <c r="U49" s="3698"/>
      <c r="V49" s="3698"/>
      <c r="W49" s="3698"/>
      <c r="X49" s="1790"/>
      <c r="Y49" s="1790"/>
      <c r="Z49" s="1790"/>
      <c r="AA49" s="1790"/>
      <c r="AB49" s="1790"/>
      <c r="AC49" s="1790"/>
    </row>
    <row r="50" spans="1:29">
      <c r="G50" s="3005"/>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2372</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2373</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2374</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8"/>
      <c r="L54" s="3002"/>
      <c r="P54" s="2479"/>
      <c r="Q54" s="1810"/>
      <c r="R54" s="1810"/>
      <c r="S54" s="1810"/>
      <c r="T54" s="1810"/>
      <c r="U54" s="1810"/>
      <c r="V54" s="1810"/>
      <c r="W54" s="1810"/>
      <c r="X54" s="1810"/>
      <c r="Y54" s="1810"/>
      <c r="Z54" s="1810"/>
      <c r="AA54" s="1810"/>
      <c r="AB54" s="1810"/>
      <c r="AC54" s="1810"/>
    </row>
    <row r="55" spans="1:29" s="1812" customFormat="1">
      <c r="B55" s="3006"/>
      <c r="C55" s="3007"/>
      <c r="K55" s="3008"/>
      <c r="L55" s="3002"/>
      <c r="P55" s="2479"/>
      <c r="Q55" s="1810"/>
      <c r="R55" s="1810"/>
      <c r="S55" s="1810"/>
      <c r="T55" s="1810"/>
      <c r="U55" s="1810"/>
      <c r="V55" s="1810"/>
      <c r="W55" s="1810"/>
      <c r="X55" s="1810"/>
      <c r="Y55" s="1810"/>
      <c r="Z55" s="1810"/>
      <c r="AA55" s="1810"/>
      <c r="AB55" s="1810"/>
      <c r="AC55" s="1810"/>
    </row>
    <row r="56" spans="1:29">
      <c r="B56" s="3006"/>
      <c r="C56" s="3007"/>
      <c r="P56" s="2478"/>
      <c r="Q56" s="1789"/>
      <c r="R56" s="1789"/>
      <c r="S56" s="1789"/>
      <c r="T56" s="1789"/>
      <c r="U56" s="1789"/>
      <c r="V56" s="1789"/>
      <c r="W56" s="1789"/>
      <c r="X56" s="1789"/>
      <c r="Y56" s="1789"/>
      <c r="Z56" s="1789"/>
      <c r="AA56" s="1789"/>
      <c r="AB56" s="1789"/>
      <c r="AC56" s="1789"/>
    </row>
    <row r="57" spans="1:29" ht="21.75" thickBot="1">
      <c r="A57" s="1815" t="s">
        <v>2375</v>
      </c>
      <c r="B57" s="1790"/>
      <c r="C57" s="1816"/>
      <c r="D57" s="1816"/>
      <c r="E57" s="1816"/>
      <c r="F57" s="1816"/>
      <c r="G57" s="1816"/>
      <c r="H57" s="1816"/>
      <c r="I57" s="1816"/>
      <c r="J57" s="1816"/>
      <c r="K57" s="1817"/>
      <c r="L57" s="2043"/>
      <c r="M57" s="2041"/>
      <c r="N57" s="3004"/>
      <c r="O57" s="3004"/>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2009-7</v>
      </c>
      <c r="D58" s="1824">
        <f>EDATE(C58,-1)</f>
        <v>39965</v>
      </c>
      <c r="E58" s="1824">
        <f t="shared" ref="E58:O58" si="16">EDATE(D58,-1)</f>
        <v>39934</v>
      </c>
      <c r="F58" s="1824">
        <f t="shared" si="16"/>
        <v>39904</v>
      </c>
      <c r="G58" s="1824">
        <f t="shared" si="16"/>
        <v>39873</v>
      </c>
      <c r="H58" s="1824">
        <f t="shared" si="16"/>
        <v>39845</v>
      </c>
      <c r="I58" s="1824">
        <f t="shared" si="16"/>
        <v>39814</v>
      </c>
      <c r="J58" s="1824">
        <f t="shared" si="16"/>
        <v>39783</v>
      </c>
      <c r="K58" s="1824">
        <f t="shared" si="16"/>
        <v>39753</v>
      </c>
      <c r="L58" s="1824">
        <f t="shared" si="16"/>
        <v>39722</v>
      </c>
      <c r="M58" s="1824">
        <f t="shared" si="16"/>
        <v>39692</v>
      </c>
      <c r="N58" s="1824">
        <f t="shared" si="16"/>
        <v>39661</v>
      </c>
      <c r="O58" s="1824">
        <f t="shared" si="16"/>
        <v>39630</v>
      </c>
      <c r="P58" s="1825"/>
    </row>
    <row r="59" spans="1:29" s="1685" customFormat="1" ht="15">
      <c r="A59" s="1827"/>
      <c r="B59" s="1828"/>
      <c r="C59" s="1829">
        <v>100</v>
      </c>
      <c r="D59" s="1830"/>
      <c r="E59" s="1830"/>
      <c r="F59" s="1830"/>
      <c r="G59" s="1830"/>
      <c r="H59" s="1830"/>
      <c r="I59" s="1830"/>
      <c r="J59" s="1830"/>
      <c r="K59" s="1830"/>
      <c r="L59" s="1830"/>
      <c r="M59" s="1831"/>
      <c r="N59" s="1830"/>
      <c r="O59" s="1831"/>
      <c r="P59" s="1832"/>
    </row>
    <row r="60" spans="1:29" s="1685" customFormat="1" ht="15.75" thickBot="1">
      <c r="A60" s="1833" t="s">
        <v>2295</v>
      </c>
      <c r="B60" s="1834"/>
      <c r="C60" s="1835"/>
      <c r="D60" s="1836"/>
      <c r="E60" s="1836"/>
      <c r="F60" s="1836"/>
      <c r="G60" s="1836"/>
      <c r="H60" s="1836"/>
      <c r="I60" s="1836"/>
      <c r="J60" s="1836"/>
      <c r="K60" s="1836"/>
      <c r="L60" s="1836"/>
      <c r="M60" s="1837"/>
      <c r="N60" s="1836"/>
      <c r="O60" s="1837"/>
      <c r="P60" s="1832"/>
      <c r="Q60" s="1820"/>
    </row>
    <row r="61" spans="1:29" s="1685" customFormat="1" ht="15">
      <c r="A61" s="1838" t="s">
        <v>2260</v>
      </c>
      <c r="B61" s="1828"/>
      <c r="C61" s="1839" t="s">
        <v>2261</v>
      </c>
      <c r="D61" s="409"/>
      <c r="E61" s="409"/>
      <c r="F61" s="409"/>
      <c r="G61" s="409"/>
      <c r="H61" s="409"/>
      <c r="I61" s="409"/>
      <c r="J61" s="409"/>
      <c r="K61" s="409"/>
      <c r="L61" s="409"/>
      <c r="M61" s="1840"/>
      <c r="N61" s="3013"/>
      <c r="O61" s="3013"/>
      <c r="P61" s="1842"/>
      <c r="Q61" s="1820"/>
    </row>
    <row r="62" spans="1:29" s="1685" customFormat="1" ht="15.75" thickBot="1">
      <c r="A62" s="1838"/>
      <c r="B62" s="1828"/>
      <c r="C62" s="1843">
        <v>100</v>
      </c>
      <c r="D62" s="1830"/>
      <c r="E62" s="1830"/>
      <c r="F62" s="1830"/>
      <c r="G62" s="1830"/>
      <c r="H62" s="1830"/>
      <c r="I62" s="1830"/>
      <c r="J62" s="1830"/>
      <c r="K62" s="1830"/>
      <c r="L62" s="1830"/>
      <c r="M62" s="1844"/>
      <c r="N62" s="3013"/>
      <c r="O62" s="3013"/>
      <c r="P62" s="1832"/>
      <c r="Q62" s="1820"/>
    </row>
    <row r="63" spans="1:29">
      <c r="A63" s="1845" t="s">
        <v>2298</v>
      </c>
      <c r="B63" s="1846" t="s">
        <v>2264</v>
      </c>
      <c r="C63" s="1847">
        <f>C9</f>
        <v>0</v>
      </c>
      <c r="D63" s="1848"/>
      <c r="E63" s="1848"/>
      <c r="F63" s="1848"/>
      <c r="G63" s="1848"/>
      <c r="H63" s="1848"/>
      <c r="I63" s="1848"/>
      <c r="J63" s="1848"/>
      <c r="K63" s="417"/>
      <c r="L63" s="417"/>
      <c r="M63" s="1849"/>
      <c r="N63" s="3014"/>
      <c r="O63" s="3014"/>
      <c r="P63" s="1851"/>
      <c r="Q63" s="1820"/>
    </row>
    <row r="64" spans="1:29" ht="15.75" thickBot="1">
      <c r="A64" s="1852"/>
      <c r="B64" s="1853"/>
      <c r="C64" s="1854">
        <v>100</v>
      </c>
      <c r="D64" s="1854"/>
      <c r="E64" s="1854"/>
      <c r="F64" s="1854"/>
      <c r="G64" s="1854"/>
      <c r="H64" s="1854"/>
      <c r="I64" s="1854"/>
      <c r="J64" s="1854"/>
      <c r="K64" s="1854"/>
      <c r="L64" s="1854"/>
      <c r="M64" s="1855"/>
      <c r="N64" s="3015"/>
      <c r="O64" s="3015"/>
      <c r="P64" s="1851"/>
      <c r="Q64" s="1820"/>
    </row>
    <row r="65" spans="1:17" ht="27.75" thickTop="1">
      <c r="A65" s="1852"/>
      <c r="B65" s="1857" t="s">
        <v>2267</v>
      </c>
      <c r="C65" s="1858" t="s">
        <v>2299</v>
      </c>
      <c r="D65" s="1858" t="s">
        <v>2300</v>
      </c>
      <c r="E65" s="1858" t="s">
        <v>2301</v>
      </c>
      <c r="F65" s="1858" t="s">
        <v>2302</v>
      </c>
      <c r="G65" s="1858" t="s">
        <v>2303</v>
      </c>
      <c r="H65" s="1858" t="s">
        <v>2304</v>
      </c>
      <c r="I65" s="1858" t="s">
        <v>2305</v>
      </c>
      <c r="J65" s="1858"/>
      <c r="K65" s="428"/>
      <c r="L65" s="428"/>
      <c r="M65" s="1859"/>
      <c r="N65" s="3014"/>
      <c r="O65" s="3014"/>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5"/>
      <c r="O66" s="3015"/>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1" t="str">
        <f>M68&amp;"（含）"&amp;"-"&amp;P68</f>
        <v>（含）-</v>
      </c>
      <c r="N67" s="3015"/>
      <c r="O67" s="3015"/>
      <c r="P67" s="1851"/>
      <c r="Q67" s="1820"/>
    </row>
    <row r="68" spans="1:17" ht="15">
      <c r="A68" s="1852"/>
      <c r="B68" s="1865"/>
      <c r="C68" s="1866"/>
      <c r="D68" s="1866"/>
      <c r="E68" s="1866"/>
      <c r="F68" s="1866"/>
      <c r="G68" s="1866"/>
      <c r="H68" s="1866"/>
      <c r="I68" s="1866"/>
      <c r="J68" s="1866"/>
      <c r="K68" s="438"/>
      <c r="L68" s="438"/>
      <c r="M68" s="1867"/>
      <c r="N68" s="3014"/>
      <c r="O68" s="3014"/>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5"/>
      <c r="O69" s="3015"/>
      <c r="P69" s="1851"/>
      <c r="Q69" s="1820"/>
    </row>
    <row r="70" spans="1:17" s="1770" customFormat="1" ht="15.75" thickTop="1">
      <c r="A70" s="1868"/>
      <c r="B70" s="1857">
        <f>B12</f>
        <v>111</v>
      </c>
      <c r="C70" s="468"/>
      <c r="D70" s="468"/>
      <c r="E70" s="468"/>
      <c r="F70" s="468"/>
      <c r="G70" s="468"/>
      <c r="H70" s="443"/>
      <c r="I70" s="443"/>
      <c r="J70" s="443"/>
      <c r="K70" s="443"/>
      <c r="L70" s="443"/>
      <c r="M70" s="1869"/>
      <c r="N70" s="3016"/>
      <c r="O70" s="3016"/>
      <c r="P70" s="1871"/>
      <c r="Q70" s="1872"/>
    </row>
    <row r="71" spans="1:17" s="1770" customFormat="1" ht="15.75" thickBot="1">
      <c r="A71" s="1868"/>
      <c r="B71" s="1860"/>
      <c r="C71" s="1873"/>
      <c r="D71" s="1854"/>
      <c r="E71" s="1854"/>
      <c r="F71" s="1854"/>
      <c r="G71" s="1854"/>
      <c r="H71" s="1854"/>
      <c r="I71" s="1854"/>
      <c r="J71" s="1854"/>
      <c r="K71" s="1854"/>
      <c r="L71" s="1854"/>
      <c r="M71" s="1855"/>
      <c r="N71" s="3015"/>
      <c r="O71" s="3015"/>
      <c r="P71" s="1871"/>
      <c r="Q71" s="1872"/>
    </row>
    <row r="72" spans="1:17" s="1770" customFormat="1" ht="15.75" thickTop="1">
      <c r="A72" s="1868"/>
      <c r="B72" s="1857">
        <f>B13</f>
        <v>111</v>
      </c>
      <c r="C72" s="468"/>
      <c r="D72" s="468"/>
      <c r="E72" s="468"/>
      <c r="F72" s="468"/>
      <c r="G72" s="468"/>
      <c r="H72" s="443"/>
      <c r="I72" s="443"/>
      <c r="J72" s="443"/>
      <c r="K72" s="443"/>
      <c r="L72" s="443"/>
      <c r="M72" s="1869"/>
      <c r="N72" s="3016"/>
      <c r="O72" s="3016"/>
      <c r="P72" s="1874"/>
      <c r="Q72" s="1875"/>
    </row>
    <row r="73" spans="1:17" s="1770" customFormat="1" ht="15.75" thickBot="1">
      <c r="A73" s="1868"/>
      <c r="B73" s="1860"/>
      <c r="C73" s="1873"/>
      <c r="D73" s="1854"/>
      <c r="E73" s="1854"/>
      <c r="F73" s="1854"/>
      <c r="G73" s="1873"/>
      <c r="H73" s="1876"/>
      <c r="I73" s="1876"/>
      <c r="J73" s="1876"/>
      <c r="K73" s="1876"/>
      <c r="L73" s="1876"/>
      <c r="M73" s="1877"/>
      <c r="N73" s="3016"/>
      <c r="O73" s="3016"/>
      <c r="P73" s="1871"/>
      <c r="Q73" s="1872"/>
    </row>
    <row r="74" spans="1:17" s="1770" customFormat="1" ht="15.75" thickTop="1">
      <c r="A74" s="1868"/>
      <c r="B74" s="1863">
        <f>B14</f>
        <v>111</v>
      </c>
      <c r="C74" s="468"/>
      <c r="D74" s="468"/>
      <c r="E74" s="468"/>
      <c r="F74" s="468"/>
      <c r="G74" s="409"/>
      <c r="H74" s="453"/>
      <c r="I74" s="453"/>
      <c r="J74" s="453"/>
      <c r="K74" s="453"/>
      <c r="L74" s="453"/>
      <c r="M74" s="1878"/>
      <c r="N74" s="3016"/>
      <c r="O74" s="3016"/>
      <c r="P74" s="1871"/>
      <c r="Q74" s="1872"/>
    </row>
    <row r="75" spans="1:17" s="1770" customFormat="1" ht="15.75" thickBot="1">
      <c r="A75" s="1879"/>
      <c r="B75" s="1880"/>
      <c r="C75" s="1881"/>
      <c r="D75" s="1881"/>
      <c r="E75" s="1881"/>
      <c r="F75" s="1881"/>
      <c r="G75" s="1881"/>
      <c r="H75" s="1882"/>
      <c r="I75" s="1882"/>
      <c r="J75" s="1882"/>
      <c r="K75" s="1882"/>
      <c r="L75" s="1882"/>
      <c r="M75" s="1883"/>
      <c r="N75" s="3016"/>
      <c r="O75" s="3016"/>
      <c r="P75" s="1871"/>
      <c r="Q75" s="1872"/>
    </row>
    <row r="76" spans="1:17">
      <c r="A76" s="1845" t="s">
        <v>2269</v>
      </c>
      <c r="B76" s="1846" t="s">
        <v>2306</v>
      </c>
      <c r="C76" s="1884" t="s">
        <v>2307</v>
      </c>
      <c r="D76" s="1884" t="s">
        <v>2308</v>
      </c>
      <c r="E76" s="1884" t="s">
        <v>2309</v>
      </c>
      <c r="F76" s="1884" t="s">
        <v>2310</v>
      </c>
      <c r="G76" s="1884" t="s">
        <v>2311</v>
      </c>
      <c r="H76" s="1847"/>
      <c r="I76" s="1847"/>
      <c r="J76" s="1847"/>
      <c r="K76" s="463"/>
      <c r="L76" s="463"/>
      <c r="M76" s="1885"/>
      <c r="N76" s="3014"/>
      <c r="O76" s="3014"/>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5"/>
      <c r="O77" s="3015"/>
      <c r="P77" s="1851"/>
      <c r="Q77" s="1820"/>
    </row>
    <row r="78" spans="1:17" ht="15.75" thickTop="1">
      <c r="A78" s="1852"/>
      <c r="B78" s="1857" t="s">
        <v>2312</v>
      </c>
      <c r="C78" s="579" t="s">
        <v>2307</v>
      </c>
      <c r="D78" s="579" t="s">
        <v>2308</v>
      </c>
      <c r="E78" s="579" t="s">
        <v>2309</v>
      </c>
      <c r="F78" s="579" t="s">
        <v>2310</v>
      </c>
      <c r="G78" s="579" t="s">
        <v>2311</v>
      </c>
      <c r="H78" s="1858"/>
      <c r="I78" s="1858"/>
      <c r="J78" s="1858"/>
      <c r="K78" s="428"/>
      <c r="L78" s="428"/>
      <c r="M78" s="1859"/>
      <c r="N78" s="3014"/>
      <c r="O78" s="3014"/>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5"/>
      <c r="O79" s="3015"/>
      <c r="P79" s="1851"/>
      <c r="Q79" s="1820"/>
    </row>
    <row r="80" spans="1:17" ht="15.75" thickTop="1">
      <c r="A80" s="1852"/>
      <c r="B80" s="1857" t="s">
        <v>2313</v>
      </c>
      <c r="C80" s="579" t="s">
        <v>2307</v>
      </c>
      <c r="D80" s="579" t="s">
        <v>2308</v>
      </c>
      <c r="E80" s="579" t="s">
        <v>2309</v>
      </c>
      <c r="F80" s="579" t="s">
        <v>2310</v>
      </c>
      <c r="G80" s="579" t="s">
        <v>2311</v>
      </c>
      <c r="H80" s="1858"/>
      <c r="I80" s="1858"/>
      <c r="J80" s="1858"/>
      <c r="K80" s="428"/>
      <c r="L80" s="428"/>
      <c r="M80" s="1859"/>
      <c r="N80" s="3014"/>
      <c r="O80" s="3014"/>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5"/>
      <c r="O81" s="3015"/>
      <c r="P81" s="1851"/>
      <c r="Q81" s="1820"/>
    </row>
    <row r="82" spans="1:17" ht="15.75" thickTop="1">
      <c r="A82" s="1852"/>
      <c r="B82" s="1863" t="s">
        <v>2356</v>
      </c>
      <c r="C82" s="1858" t="s">
        <v>2314</v>
      </c>
      <c r="D82" s="1858" t="s">
        <v>2315</v>
      </c>
      <c r="E82" s="1858" t="s">
        <v>2316</v>
      </c>
      <c r="F82" s="1858" t="s">
        <v>2317</v>
      </c>
      <c r="G82" s="1858" t="s">
        <v>2318</v>
      </c>
      <c r="H82" s="1858"/>
      <c r="I82" s="1858"/>
      <c r="J82" s="1858"/>
      <c r="K82" s="1858"/>
      <c r="L82" s="1858"/>
      <c r="M82" s="1886"/>
      <c r="N82" s="3015"/>
      <c r="O82" s="3015"/>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5"/>
      <c r="N83" s="3015"/>
      <c r="O83" s="3015"/>
      <c r="P83" s="1851"/>
      <c r="Q83" s="1820"/>
    </row>
    <row r="84" spans="1:17" ht="15.75" thickTop="1">
      <c r="A84" s="1852"/>
      <c r="B84" s="1857" t="s">
        <v>2319</v>
      </c>
      <c r="C84" s="579" t="s">
        <v>2307</v>
      </c>
      <c r="D84" s="579" t="s">
        <v>2308</v>
      </c>
      <c r="E84" s="579" t="s">
        <v>2309</v>
      </c>
      <c r="F84" s="579" t="s">
        <v>2310</v>
      </c>
      <c r="G84" s="579" t="s">
        <v>2311</v>
      </c>
      <c r="H84" s="1858"/>
      <c r="I84" s="1858"/>
      <c r="J84" s="1858"/>
      <c r="K84" s="428"/>
      <c r="L84" s="428"/>
      <c r="M84" s="1859"/>
      <c r="N84" s="3014"/>
      <c r="O84" s="3014"/>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5"/>
      <c r="O85" s="3015"/>
      <c r="P85" s="1851"/>
      <c r="Q85" s="1820"/>
    </row>
    <row r="86" spans="1:17" s="1685" customFormat="1" ht="15.75" thickTop="1">
      <c r="A86" s="1888"/>
      <c r="B86" s="1857" t="s">
        <v>2376</v>
      </c>
      <c r="C86" s="468"/>
      <c r="D86" s="468"/>
      <c r="E86" s="468"/>
      <c r="F86" s="468"/>
      <c r="G86" s="468"/>
      <c r="H86" s="468"/>
      <c r="I86" s="468"/>
      <c r="J86" s="468"/>
      <c r="K86" s="468"/>
      <c r="L86" s="468"/>
      <c r="M86" s="1889"/>
      <c r="N86" s="3013"/>
      <c r="O86" s="3013"/>
      <c r="P86" s="1851"/>
      <c r="Q86" s="1820"/>
    </row>
    <row r="87" spans="1:17" s="1685"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5"/>
      <c r="O87" s="3015"/>
      <c r="P87" s="1851"/>
      <c r="Q87" s="1820"/>
    </row>
    <row r="88" spans="1:17" s="1685" customFormat="1" ht="15.75" thickTop="1">
      <c r="A88" s="1888"/>
      <c r="B88" s="1857" t="str">
        <f>B26</f>
        <v>平面位置/可视性</v>
      </c>
      <c r="C88" s="468"/>
      <c r="D88" s="468"/>
      <c r="E88" s="468"/>
      <c r="F88" s="1891"/>
      <c r="G88" s="468"/>
      <c r="H88" s="468"/>
      <c r="I88" s="468"/>
      <c r="J88" s="468"/>
      <c r="K88" s="468"/>
      <c r="L88" s="468"/>
      <c r="M88" s="1889"/>
      <c r="N88" s="3013"/>
      <c r="O88" s="3013"/>
      <c r="P88" s="1851"/>
      <c r="Q88" s="1820"/>
    </row>
    <row r="89" spans="1:17" s="1685" customFormat="1" ht="15.75" thickBot="1">
      <c r="A89" s="1888"/>
      <c r="B89" s="1860"/>
      <c r="C89" s="1873"/>
      <c r="D89" s="1854"/>
      <c r="E89" s="1854"/>
      <c r="F89" s="1854"/>
      <c r="G89" s="1854"/>
      <c r="H89" s="1854"/>
      <c r="I89" s="1854"/>
      <c r="J89" s="1854"/>
      <c r="K89" s="1854"/>
      <c r="L89" s="1854"/>
      <c r="M89" s="1854"/>
      <c r="N89" s="3015"/>
      <c r="O89" s="3015"/>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6"/>
      <c r="O90" s="3016"/>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6"/>
      <c r="O91" s="3016"/>
      <c r="P91" s="1871"/>
      <c r="Q91" s="1872"/>
    </row>
    <row r="92" spans="1:17" ht="15.75" thickTop="1">
      <c r="A92" s="1852"/>
      <c r="B92" s="1857" t="str">
        <f>B28</f>
        <v>楼层</v>
      </c>
      <c r="C92" s="468"/>
      <c r="D92" s="468"/>
      <c r="E92" s="468"/>
      <c r="F92" s="468"/>
      <c r="G92" s="468"/>
      <c r="H92" s="468"/>
      <c r="I92" s="468"/>
      <c r="J92" s="468"/>
      <c r="K92" s="468"/>
      <c r="L92" s="468"/>
      <c r="M92" s="1889"/>
      <c r="N92" s="3014"/>
      <c r="O92" s="3014"/>
      <c r="P92" s="1851"/>
      <c r="Q92" s="1820"/>
    </row>
    <row r="93" spans="1:17" ht="15.75" thickBot="1">
      <c r="A93" s="1852"/>
      <c r="B93" s="1860"/>
      <c r="C93" s="1854"/>
      <c r="D93" s="1854"/>
      <c r="E93" s="1854"/>
      <c r="F93" s="1854"/>
      <c r="G93" s="1854"/>
      <c r="H93" s="1854"/>
      <c r="I93" s="1854"/>
      <c r="J93" s="1854"/>
      <c r="K93" s="1854"/>
      <c r="L93" s="1854"/>
      <c r="M93" s="1855"/>
      <c r="N93" s="3015"/>
      <c r="O93" s="3015"/>
      <c r="P93" s="1851"/>
      <c r="Q93" s="1820"/>
    </row>
    <row r="94" spans="1:17" ht="15.75" thickTop="1">
      <c r="A94" s="1852"/>
      <c r="B94" s="1857">
        <f>B29</f>
        <v>111</v>
      </c>
      <c r="C94" s="468"/>
      <c r="D94" s="468"/>
      <c r="E94" s="468"/>
      <c r="F94" s="468"/>
      <c r="G94" s="1578"/>
      <c r="H94" s="1578"/>
      <c r="I94" s="1578"/>
      <c r="J94" s="1578"/>
      <c r="K94" s="473"/>
      <c r="L94" s="473"/>
      <c r="M94" s="1892"/>
      <c r="N94" s="3014"/>
      <c r="O94" s="3014"/>
      <c r="P94" s="1851"/>
      <c r="Q94" s="1820"/>
    </row>
    <row r="95" spans="1:17" ht="15.75" thickBot="1">
      <c r="A95" s="1852"/>
      <c r="B95" s="1860"/>
      <c r="C95" s="1873"/>
      <c r="D95" s="1854"/>
      <c r="E95" s="1854"/>
      <c r="F95" s="1854"/>
      <c r="G95" s="1854"/>
      <c r="H95" s="1854"/>
      <c r="I95" s="1854"/>
      <c r="J95" s="1854"/>
      <c r="K95" s="1854"/>
      <c r="L95" s="1854"/>
      <c r="M95" s="1855"/>
      <c r="N95" s="3015"/>
      <c r="O95" s="3015"/>
      <c r="P95" s="1851"/>
      <c r="Q95" s="1820"/>
    </row>
    <row r="96" spans="1:17" ht="15.75" thickTop="1">
      <c r="A96" s="1852"/>
      <c r="B96" s="1857">
        <f>B30</f>
        <v>111</v>
      </c>
      <c r="C96" s="468"/>
      <c r="D96" s="468"/>
      <c r="E96" s="468"/>
      <c r="F96" s="468"/>
      <c r="G96" s="1578"/>
      <c r="H96" s="1578"/>
      <c r="I96" s="1578"/>
      <c r="J96" s="1578"/>
      <c r="K96" s="473"/>
      <c r="L96" s="473"/>
      <c r="M96" s="1892"/>
      <c r="N96" s="3014"/>
      <c r="O96" s="3014"/>
      <c r="P96" s="1851"/>
      <c r="Q96" s="1820"/>
    </row>
    <row r="97" spans="1:17" ht="15.75" thickBot="1">
      <c r="A97" s="1852"/>
      <c r="B97" s="1860"/>
      <c r="C97" s="1873"/>
      <c r="D97" s="1854"/>
      <c r="E97" s="1854"/>
      <c r="F97" s="1854"/>
      <c r="G97" s="1854"/>
      <c r="H97" s="1854"/>
      <c r="I97" s="1854"/>
      <c r="J97" s="1854"/>
      <c r="K97" s="1854"/>
      <c r="L97" s="1854"/>
      <c r="M97" s="1855"/>
      <c r="N97" s="3015"/>
      <c r="O97" s="3015"/>
      <c r="P97" s="1851"/>
      <c r="Q97" s="1820"/>
    </row>
    <row r="98" spans="1:17" ht="15.75" thickTop="1">
      <c r="A98" s="1852"/>
      <c r="B98" s="1863">
        <f>B31</f>
        <v>111</v>
      </c>
      <c r="C98" s="468"/>
      <c r="D98" s="468"/>
      <c r="E98" s="468"/>
      <c r="F98" s="468"/>
      <c r="G98" s="1893"/>
      <c r="H98" s="1893"/>
      <c r="I98" s="1893"/>
      <c r="J98" s="1893"/>
      <c r="K98" s="477"/>
      <c r="L98" s="477"/>
      <c r="M98" s="1894"/>
      <c r="N98" s="3014"/>
      <c r="O98" s="3014"/>
      <c r="P98" s="1851"/>
      <c r="Q98" s="1820"/>
    </row>
    <row r="99" spans="1:17" ht="15.75" thickBot="1">
      <c r="A99" s="1895"/>
      <c r="B99" s="1880"/>
      <c r="C99" s="1881"/>
      <c r="D99" s="1881"/>
      <c r="E99" s="1881"/>
      <c r="F99" s="1881"/>
      <c r="G99" s="1896"/>
      <c r="H99" s="1896"/>
      <c r="I99" s="1896"/>
      <c r="J99" s="1896"/>
      <c r="K99" s="1896"/>
      <c r="L99" s="1896"/>
      <c r="M99" s="1897"/>
      <c r="N99" s="3015"/>
      <c r="O99" s="3015"/>
      <c r="P99" s="1851"/>
      <c r="Q99" s="1820"/>
    </row>
    <row r="100" spans="1:17">
      <c r="A100" s="1845" t="s">
        <v>2273</v>
      </c>
      <c r="B100" s="1846" t="s">
        <v>2377</v>
      </c>
      <c r="C100" s="1848"/>
      <c r="D100" s="1848"/>
      <c r="E100" s="1848"/>
      <c r="F100" s="1848"/>
      <c r="G100" s="1848"/>
      <c r="H100" s="1848"/>
      <c r="I100" s="1848"/>
      <c r="J100" s="1848"/>
      <c r="K100" s="417"/>
      <c r="L100" s="417"/>
      <c r="M100" s="1849"/>
      <c r="N100" s="3014"/>
      <c r="O100" s="3014"/>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5"/>
      <c r="O101" s="3015"/>
      <c r="P101" s="1851"/>
      <c r="Q101" s="1820"/>
    </row>
    <row r="102" spans="1:17" ht="15.75" thickTop="1">
      <c r="A102" s="1852"/>
      <c r="B102" s="1857"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3"/>
      <c r="O102" s="3013"/>
      <c r="P102" s="1851"/>
      <c r="Q102" s="1820"/>
    </row>
    <row r="103" spans="1:17" s="1770" customFormat="1">
      <c r="A103" s="1898"/>
      <c r="B103" s="1899"/>
      <c r="C103" s="1900"/>
      <c r="D103" s="1900"/>
      <c r="E103" s="1900"/>
      <c r="F103" s="1900"/>
      <c r="G103" s="1900"/>
      <c r="H103" s="1900"/>
      <c r="I103" s="1900"/>
      <c r="J103" s="485"/>
      <c r="K103" s="485"/>
      <c r="L103" s="485"/>
      <c r="M103" s="1901"/>
      <c r="N103" s="3016"/>
      <c r="O103" s="3016"/>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5"/>
      <c r="O104" s="3015"/>
      <c r="P104" s="1871"/>
      <c r="Q104" s="1872"/>
    </row>
    <row r="105" spans="1:17" ht="15" thickTop="1">
      <c r="A105" s="1902"/>
      <c r="B105" s="1857" t="s">
        <v>2324</v>
      </c>
      <c r="C105" s="468"/>
      <c r="D105" s="468"/>
      <c r="E105" s="1578"/>
      <c r="F105" s="1578"/>
      <c r="G105" s="1578"/>
      <c r="H105" s="1578"/>
      <c r="I105" s="1578"/>
      <c r="J105" s="1578"/>
      <c r="K105" s="473"/>
      <c r="L105" s="473"/>
      <c r="M105" s="1892"/>
      <c r="N105" s="3014"/>
      <c r="O105" s="3014"/>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5"/>
      <c r="O106" s="3015"/>
      <c r="P106" s="1851"/>
      <c r="Q106" s="1820"/>
    </row>
    <row r="107" spans="1:17" ht="15" thickTop="1">
      <c r="A107" s="1902"/>
      <c r="B107" s="1857" t="s">
        <v>2326</v>
      </c>
      <c r="C107" s="468"/>
      <c r="D107" s="468"/>
      <c r="E107" s="468"/>
      <c r="F107" s="1578"/>
      <c r="G107" s="1578"/>
      <c r="H107" s="1578"/>
      <c r="I107" s="1578"/>
      <c r="J107" s="1578"/>
      <c r="K107" s="473"/>
      <c r="L107" s="473"/>
      <c r="M107" s="1892"/>
      <c r="N107" s="3014"/>
      <c r="O107" s="3014"/>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5"/>
      <c r="O108" s="3015"/>
      <c r="P108" s="1851"/>
      <c r="Q108" s="1820"/>
    </row>
    <row r="109" spans="1:17" ht="15" thickTop="1">
      <c r="A109" s="1902"/>
      <c r="B109" s="1857"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2"/>
      <c r="N109" s="3014"/>
      <c r="O109" s="3014"/>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4"/>
      <c r="O110" s="3014"/>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5"/>
      <c r="O111" s="3015"/>
      <c r="P111" s="1851"/>
      <c r="Q111" s="1820"/>
    </row>
    <row r="112" spans="1:17" s="1770" customFormat="1" ht="15" thickTop="1">
      <c r="A112" s="1898"/>
      <c r="B112" s="1857" t="s">
        <v>2329</v>
      </c>
      <c r="C112" s="468"/>
      <c r="D112" s="468"/>
      <c r="E112" s="468"/>
      <c r="F112" s="468"/>
      <c r="G112" s="468"/>
      <c r="H112" s="1578"/>
      <c r="I112" s="1578"/>
      <c r="J112" s="1578"/>
      <c r="K112" s="473"/>
      <c r="L112" s="473"/>
      <c r="M112" s="1892"/>
      <c r="N112" s="3016"/>
      <c r="O112" s="3016"/>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6"/>
      <c r="O113" s="3016"/>
      <c r="P113" s="1871"/>
      <c r="Q113" s="1872"/>
    </row>
    <row r="114" spans="1:17" ht="15" thickTop="1">
      <c r="A114" s="1902"/>
      <c r="B114" s="1857" t="s">
        <v>2378</v>
      </c>
      <c r="C114" s="468"/>
      <c r="D114" s="468"/>
      <c r="E114" s="1578"/>
      <c r="F114" s="1578"/>
      <c r="G114" s="1578"/>
      <c r="H114" s="1578"/>
      <c r="I114" s="1578"/>
      <c r="J114" s="1578"/>
      <c r="K114" s="473"/>
      <c r="L114" s="473"/>
      <c r="M114" s="1892"/>
      <c r="N114" s="3014"/>
      <c r="O114" s="3014"/>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5"/>
      <c r="O115" s="3015"/>
      <c r="P115" s="1851"/>
      <c r="Q115" s="1820"/>
    </row>
    <row r="116" spans="1:17" ht="15" thickTop="1">
      <c r="A116" s="1902"/>
      <c r="B116" s="1857" t="s">
        <v>2379</v>
      </c>
      <c r="C116" s="468"/>
      <c r="D116" s="468"/>
      <c r="E116" s="468"/>
      <c r="F116" s="468"/>
      <c r="G116" s="468"/>
      <c r="H116" s="1578"/>
      <c r="I116" s="1578"/>
      <c r="J116" s="1578"/>
      <c r="K116" s="473"/>
      <c r="L116" s="473"/>
      <c r="M116" s="1892"/>
      <c r="N116" s="3014"/>
      <c r="O116" s="3014"/>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5"/>
      <c r="O117" s="3015"/>
      <c r="P117" s="1851"/>
      <c r="Q117" s="1820"/>
    </row>
    <row r="118" spans="1:17" ht="15" thickTop="1">
      <c r="A118" s="1902"/>
      <c r="B118" s="1857" t="s">
        <v>2380</v>
      </c>
      <c r="C118" s="2484"/>
      <c r="D118" s="2484"/>
      <c r="E118" s="2484"/>
      <c r="F118" s="2484"/>
      <c r="G118" s="2484"/>
      <c r="H118" s="443"/>
      <c r="I118" s="443"/>
      <c r="J118" s="443"/>
      <c r="K118" s="443"/>
      <c r="L118" s="443"/>
      <c r="M118" s="1869"/>
      <c r="N118" s="3014"/>
      <c r="O118" s="3014"/>
      <c r="P118" s="1851"/>
      <c r="Q118" s="1820"/>
    </row>
    <row r="119" spans="1:17" ht="15.75" thickBot="1">
      <c r="A119" s="1852"/>
      <c r="B119" s="1860"/>
      <c r="C119" s="1873"/>
      <c r="D119" s="1854"/>
      <c r="E119" s="1854"/>
      <c r="F119" s="1854"/>
      <c r="G119" s="1854"/>
      <c r="H119" s="1854"/>
      <c r="I119" s="1854"/>
      <c r="J119" s="1854"/>
      <c r="K119" s="1854"/>
      <c r="L119" s="1854"/>
      <c r="M119" s="1855"/>
      <c r="N119" s="3015"/>
      <c r="O119" s="3015"/>
      <c r="P119" s="1851"/>
      <c r="Q119" s="1820"/>
    </row>
    <row r="120" spans="1:17" s="1770" customFormat="1" ht="15" thickTop="1">
      <c r="A120" s="1898"/>
      <c r="B120" s="1857" t="s">
        <v>2381</v>
      </c>
      <c r="C120" s="1578"/>
      <c r="D120" s="1578"/>
      <c r="E120" s="1578"/>
      <c r="F120" s="1578"/>
      <c r="G120" s="443"/>
      <c r="H120" s="443"/>
      <c r="I120" s="443"/>
      <c r="J120" s="443"/>
      <c r="K120" s="443"/>
      <c r="L120" s="443"/>
      <c r="M120" s="1869"/>
      <c r="N120" s="3016"/>
      <c r="O120" s="3016"/>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6"/>
      <c r="O121" s="3016"/>
      <c r="P121" s="1871"/>
      <c r="Q121" s="1872"/>
    </row>
    <row r="122" spans="1:17" ht="15" thickTop="1">
      <c r="A122" s="1902"/>
      <c r="B122" s="1857" t="s">
        <v>2331</v>
      </c>
      <c r="C122" s="468"/>
      <c r="D122" s="468"/>
      <c r="E122" s="468"/>
      <c r="F122" s="1578"/>
      <c r="G122" s="1578"/>
      <c r="H122" s="1578"/>
      <c r="I122" s="1578"/>
      <c r="J122" s="1578"/>
      <c r="K122" s="473"/>
      <c r="L122" s="473"/>
      <c r="M122" s="1892"/>
      <c r="N122" s="3014"/>
      <c r="O122" s="3014"/>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5"/>
      <c r="O123" s="3015"/>
      <c r="P123" s="1851"/>
      <c r="Q123" s="1820"/>
    </row>
    <row r="124" spans="1:17" ht="15" thickTop="1">
      <c r="A124" s="1902"/>
      <c r="B124" s="1857" t="s">
        <v>2332</v>
      </c>
      <c r="C124" s="579" t="s">
        <v>2307</v>
      </c>
      <c r="D124" s="579" t="s">
        <v>2308</v>
      </c>
      <c r="E124" s="579" t="s">
        <v>2309</v>
      </c>
      <c r="F124" s="579" t="s">
        <v>2310</v>
      </c>
      <c r="G124" s="579" t="s">
        <v>2311</v>
      </c>
      <c r="H124" s="1858"/>
      <c r="I124" s="1858"/>
      <c r="J124" s="1858"/>
      <c r="K124" s="428"/>
      <c r="L124" s="428"/>
      <c r="M124" s="1859"/>
      <c r="N124" s="3014"/>
      <c r="O124" s="3014"/>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5"/>
      <c r="O125" s="3015"/>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6"/>
      <c r="O126" s="3016"/>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6"/>
      <c r="O127" s="3016"/>
      <c r="P127" s="1871"/>
      <c r="Q127" s="1872"/>
    </row>
    <row r="128" spans="1:17" ht="15" thickTop="1">
      <c r="A128" s="1902"/>
      <c r="B128" s="1857">
        <f>B45</f>
        <v>111</v>
      </c>
      <c r="C128" s="468"/>
      <c r="D128" s="468"/>
      <c r="E128" s="468"/>
      <c r="F128" s="468"/>
      <c r="G128" s="1578"/>
      <c r="H128" s="1578"/>
      <c r="I128" s="1578"/>
      <c r="J128" s="1578"/>
      <c r="K128" s="473"/>
      <c r="L128" s="473"/>
      <c r="M128" s="1892"/>
      <c r="N128" s="3014"/>
      <c r="O128" s="3014"/>
      <c r="P128" s="1851"/>
      <c r="Q128" s="1820"/>
    </row>
    <row r="129" spans="1:17" ht="15.75" thickBot="1">
      <c r="A129" s="1852"/>
      <c r="B129" s="1860"/>
      <c r="C129" s="1873"/>
      <c r="D129" s="1854"/>
      <c r="E129" s="1854"/>
      <c r="F129" s="1854"/>
      <c r="G129" s="1854"/>
      <c r="H129" s="1854"/>
      <c r="I129" s="1854"/>
      <c r="J129" s="1854"/>
      <c r="K129" s="1854"/>
      <c r="L129" s="1854"/>
      <c r="M129" s="1855"/>
      <c r="N129" s="3015"/>
      <c r="O129" s="3015"/>
      <c r="P129" s="1851"/>
      <c r="Q129" s="1820"/>
    </row>
    <row r="130" spans="1:17" ht="15" thickTop="1">
      <c r="A130" s="1902"/>
      <c r="B130" s="1863">
        <f>B46</f>
        <v>111</v>
      </c>
      <c r="C130" s="468"/>
      <c r="D130" s="468"/>
      <c r="E130" s="468"/>
      <c r="F130" s="468"/>
      <c r="G130" s="1893"/>
      <c r="H130" s="1893"/>
      <c r="I130" s="1893"/>
      <c r="J130" s="1893"/>
      <c r="K130" s="409"/>
      <c r="L130" s="409"/>
      <c r="M130" s="1894"/>
      <c r="N130" s="3014"/>
      <c r="O130" s="3014"/>
      <c r="P130" s="1851"/>
      <c r="Q130" s="1820"/>
    </row>
    <row r="131" spans="1:17" ht="15.75" thickBot="1">
      <c r="A131" s="1895"/>
      <c r="B131" s="1880"/>
      <c r="C131" s="1881"/>
      <c r="D131" s="1881"/>
      <c r="E131" s="1881"/>
      <c r="F131" s="1881"/>
      <c r="G131" s="1896"/>
      <c r="H131" s="1896"/>
      <c r="I131" s="1896"/>
      <c r="J131" s="1896"/>
      <c r="K131" s="1896"/>
      <c r="L131" s="1896"/>
      <c r="M131" s="1897"/>
      <c r="N131" s="3015"/>
      <c r="O131" s="3015"/>
      <c r="P131" s="1851"/>
      <c r="Q131"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8" customWidth="1"/>
    <col min="12" max="12" width="12.25" style="1909"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2382</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5"/>
      <c r="AC1" s="1647"/>
    </row>
    <row r="2" spans="1:29" s="1958" customFormat="1" ht="28.5" customHeight="1" thickTop="1">
      <c r="A2" s="1649" t="s">
        <v>1913</v>
      </c>
      <c r="B2" s="1650" t="e">
        <f ca="1">IF(D2="——",IF(C2="元",ROUND(C50*D3,0),ROUND(C50*D3/10000,0)),IF(C2="元",ROUND(C50*D3,0),ROUND(C50*D3/10000,0))-E2)</f>
        <v>#DIV/0!</v>
      </c>
      <c r="C2" s="1651" t="str">
        <f>'数据-取费表'!B3</f>
        <v>元</v>
      </c>
      <c r="D2" s="1652"/>
      <c r="E2" s="2486" t="e">
        <f ca="1">SUMIF(INDIRECT("'"&amp;G2&amp;"'"&amp;"!A:A"),"承租人权益价值",INDIRECT("'"&amp;G2&amp;"'"&amp;"!c:c"))</f>
        <v>#REF!</v>
      </c>
      <c r="F2" s="1654" t="str">
        <f>C2</f>
        <v>元</v>
      </c>
      <c r="G2" s="1655"/>
      <c r="H2" s="3010"/>
      <c r="I2" s="3010"/>
      <c r="J2" s="3010"/>
      <c r="K2" s="3010"/>
      <c r="L2" s="3012"/>
      <c r="M2" s="3010"/>
      <c r="N2" s="3010"/>
      <c r="O2" s="3010"/>
      <c r="P2" s="1955"/>
      <c r="Q2" s="1955"/>
      <c r="R2" s="1955"/>
      <c r="S2" s="1955"/>
      <c r="T2" s="1955"/>
      <c r="U2" s="1955"/>
      <c r="V2" s="1955"/>
      <c r="W2" s="1955"/>
      <c r="X2" s="1955"/>
      <c r="Y2" s="1955"/>
      <c r="Z2" s="1955"/>
      <c r="AA2" s="1955"/>
      <c r="AB2" s="2487"/>
      <c r="AC2" s="1963"/>
    </row>
    <row r="3" spans="1:29" s="1958" customFormat="1" ht="28.5" customHeight="1" thickBot="1">
      <c r="A3" s="1659" t="s">
        <v>1914</v>
      </c>
      <c r="B3" s="1961" t="e">
        <f ca="1">ROUND(IF(D2="——",C50,IF(C2="万元",B2*10000/D3,B2/D3)),0)</f>
        <v>#DIV/0!</v>
      </c>
      <c r="C3" s="1660" t="s">
        <v>2244</v>
      </c>
      <c r="D3" s="1660">
        <f>IF(C1="仅计算典型户型",'数据-取费表'!E5,'数据-取费表'!B5)</f>
        <v>64.19</v>
      </c>
      <c r="F3" s="3009"/>
      <c r="G3" s="3010"/>
      <c r="H3" s="3010"/>
      <c r="I3" s="3010"/>
      <c r="J3" s="3010"/>
      <c r="K3" s="3011"/>
      <c r="L3" s="3012"/>
      <c r="M3" s="3010"/>
      <c r="N3" s="3010"/>
      <c r="O3" s="3010"/>
      <c r="P3" s="3017"/>
      <c r="Q3" s="1950"/>
      <c r="R3" s="1950"/>
      <c r="S3" s="1950"/>
      <c r="T3" s="1950"/>
      <c r="U3" s="1950"/>
      <c r="V3" s="1950"/>
      <c r="W3" s="1950"/>
      <c r="X3" s="1955"/>
      <c r="Y3" s="1950"/>
      <c r="Z3" s="1950"/>
      <c r="AA3" s="1950"/>
      <c r="AB3" s="2488"/>
      <c r="AC3" s="1963"/>
    </row>
    <row r="4" spans="1:29" ht="15">
      <c r="A4" s="1663" t="s">
        <v>2245</v>
      </c>
      <c r="B4" s="1664"/>
      <c r="C4" s="3726" t="s">
        <v>2246</v>
      </c>
      <c r="D4" s="3727"/>
      <c r="E4" s="3728" t="s">
        <v>2247</v>
      </c>
      <c r="F4" s="3729"/>
      <c r="G4" s="3726" t="s">
        <v>2248</v>
      </c>
      <c r="H4" s="3727"/>
      <c r="I4" s="3726" t="s">
        <v>2249</v>
      </c>
      <c r="J4" s="3727"/>
      <c r="K4" s="1964" t="s">
        <v>2250</v>
      </c>
      <c r="L4" s="2995"/>
      <c r="M4" s="2996"/>
      <c r="N4" s="2996"/>
      <c r="O4" s="2996"/>
      <c r="P4" s="3730" t="s">
        <v>2251</v>
      </c>
      <c r="Q4" s="3731"/>
      <c r="R4" s="3715" t="s">
        <v>2247</v>
      </c>
      <c r="S4" s="3716"/>
      <c r="T4" s="3715" t="s">
        <v>2248</v>
      </c>
      <c r="U4" s="3716"/>
      <c r="V4" s="3736" t="s">
        <v>2249</v>
      </c>
      <c r="W4" s="3736"/>
      <c r="X4" s="2073"/>
      <c r="Y4" s="3715" t="s">
        <v>2251</v>
      </c>
      <c r="Z4" s="3716"/>
      <c r="AA4" s="3723" t="s">
        <v>2247</v>
      </c>
      <c r="AB4" s="3723" t="s">
        <v>2248</v>
      </c>
      <c r="AC4" s="3723" t="s">
        <v>2249</v>
      </c>
    </row>
    <row r="5" spans="1:29" ht="15">
      <c r="A5" s="1668"/>
      <c r="B5" s="1669"/>
      <c r="C5" s="3742" t="s">
        <v>2252</v>
      </c>
      <c r="D5" s="3712"/>
      <c r="E5" s="3741" t="s">
        <v>2253</v>
      </c>
      <c r="F5" s="3738"/>
      <c r="G5" s="3742" t="s">
        <v>2254</v>
      </c>
      <c r="H5" s="3712"/>
      <c r="I5" s="3742" t="s">
        <v>2255</v>
      </c>
      <c r="J5" s="3712"/>
      <c r="K5" s="1964"/>
      <c r="L5" s="2995"/>
      <c r="M5" s="2996"/>
      <c r="N5" s="2996"/>
      <c r="O5" s="2996"/>
      <c r="P5" s="3732"/>
      <c r="Q5" s="3733"/>
      <c r="R5" s="3717"/>
      <c r="S5" s="3718"/>
      <c r="T5" s="3717"/>
      <c r="U5" s="3718"/>
      <c r="V5" s="3736"/>
      <c r="W5" s="3736"/>
      <c r="X5" s="2073"/>
      <c r="Y5" s="3717"/>
      <c r="Z5" s="3718"/>
      <c r="AA5" s="3724"/>
      <c r="AB5" s="3724"/>
      <c r="AC5" s="3724"/>
    </row>
    <row r="6" spans="1:29" ht="15.75" thickBot="1">
      <c r="A6" s="1671"/>
      <c r="B6" s="1672"/>
      <c r="C6" s="3709" t="s">
        <v>2256</v>
      </c>
      <c r="D6" s="3710"/>
      <c r="E6" s="3739" t="s">
        <v>2256</v>
      </c>
      <c r="F6" s="3740"/>
      <c r="G6" s="3709" t="s">
        <v>2256</v>
      </c>
      <c r="H6" s="3710"/>
      <c r="I6" s="3709" t="s">
        <v>2256</v>
      </c>
      <c r="J6" s="3710"/>
      <c r="K6" s="1964" t="s">
        <v>2257</v>
      </c>
      <c r="L6" s="2995"/>
      <c r="M6" s="2996"/>
      <c r="N6" s="2996"/>
      <c r="O6" s="2996"/>
      <c r="P6" s="3734"/>
      <c r="Q6" s="3735"/>
      <c r="R6" s="3717"/>
      <c r="S6" s="3718"/>
      <c r="T6" s="3719"/>
      <c r="U6" s="3720"/>
      <c r="V6" s="3736"/>
      <c r="W6" s="3736"/>
      <c r="X6" s="2073"/>
      <c r="Y6" s="3719"/>
      <c r="Z6" s="3720"/>
      <c r="AA6" s="3725"/>
      <c r="AB6" s="3725"/>
      <c r="AC6" s="3725"/>
    </row>
    <row r="7" spans="1:29" s="1685" customFormat="1" ht="15.75" thickBot="1">
      <c r="A7" s="1673" t="s">
        <v>2258</v>
      </c>
      <c r="B7" s="1674"/>
      <c r="C7" s="1675">
        <f>'数据-取费表'!B2</f>
        <v>40002</v>
      </c>
      <c r="D7" s="1676">
        <v>100</v>
      </c>
      <c r="E7" s="1677"/>
      <c r="F7" s="1678">
        <f>SUMIF(59:59,YEAR(E7)&amp;"-"&amp;MONTH(E7),60:60)</f>
        <v>0</v>
      </c>
      <c r="G7" s="1965"/>
      <c r="H7" s="1676">
        <f>SUMIF(59:59,YEAR(G7)&amp;"-"&amp;MONTH(G7),60:60)</f>
        <v>0</v>
      </c>
      <c r="I7" s="1965"/>
      <c r="J7" s="1676">
        <f>SUMIF(59:59,YEAR(I7)&amp;"-"&amp;MONTH(I7),60:60)</f>
        <v>0</v>
      </c>
      <c r="K7" s="1966"/>
      <c r="L7" s="2995"/>
      <c r="M7" s="2968"/>
      <c r="N7" s="2968"/>
      <c r="O7" s="2968"/>
      <c r="P7" s="3713" t="s">
        <v>2259</v>
      </c>
      <c r="Q7" s="3721"/>
      <c r="R7" s="1681" t="s">
        <v>25</v>
      </c>
      <c r="S7" s="1682">
        <f t="shared" ref="S7:S15" si="0">F7</f>
        <v>0</v>
      </c>
      <c r="T7" s="1681" t="s">
        <v>25</v>
      </c>
      <c r="U7" s="1682">
        <f t="shared" ref="U7:U15" si="1">H7</f>
        <v>0</v>
      </c>
      <c r="V7" s="1681" t="s">
        <v>25</v>
      </c>
      <c r="W7" s="1682">
        <f t="shared" ref="W7:W15" si="2">J7</f>
        <v>0</v>
      </c>
      <c r="X7" s="1683"/>
      <c r="Y7" s="3713" t="s">
        <v>2259</v>
      </c>
      <c r="Z7" s="3714"/>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6"/>
      <c r="L8" s="2995"/>
      <c r="M8" s="2968"/>
      <c r="N8" s="2968"/>
      <c r="O8" s="2968"/>
      <c r="P8" s="3713" t="s">
        <v>2262</v>
      </c>
      <c r="Q8" s="3714"/>
      <c r="R8" s="1681" t="s">
        <v>25</v>
      </c>
      <c r="S8" s="1682">
        <f t="shared" si="0"/>
        <v>0</v>
      </c>
      <c r="T8" s="1681" t="s">
        <v>25</v>
      </c>
      <c r="U8" s="1682">
        <f t="shared" si="1"/>
        <v>0</v>
      </c>
      <c r="V8" s="1681" t="s">
        <v>25</v>
      </c>
      <c r="W8" s="1682">
        <f t="shared" si="2"/>
        <v>0</v>
      </c>
      <c r="X8" s="1683"/>
      <c r="Y8" s="3713" t="s">
        <v>2262</v>
      </c>
      <c r="Z8" s="3714"/>
      <c r="AA8" s="1684" t="e">
        <f t="shared" ref="AA8:AA47" si="3">D8/F8</f>
        <v>#DIV/0!</v>
      </c>
      <c r="AB8" s="1684" t="e">
        <f t="shared" ref="AB8:AB47" si="4">D8/H8</f>
        <v>#DIV/0!</v>
      </c>
      <c r="AC8" s="1684" t="e">
        <f t="shared" ref="AC8:AC47" si="5">D8/J8</f>
        <v>#DIV/0!</v>
      </c>
    </row>
    <row r="9" spans="1:29" s="1685" customFormat="1">
      <c r="A9" s="2065"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6"/>
      <c r="L9" s="2995"/>
      <c r="M9" s="2968"/>
      <c r="N9" s="2968"/>
      <c r="O9" s="2968"/>
      <c r="P9" s="3699" t="s">
        <v>2265</v>
      </c>
      <c r="Q9" s="2913" t="str">
        <f t="shared" ref="Q9:Q15" si="6">B9</f>
        <v>用途</v>
      </c>
      <c r="R9" s="1681" t="s">
        <v>25</v>
      </c>
      <c r="S9" s="1682">
        <f t="shared" si="0"/>
        <v>100</v>
      </c>
      <c r="T9" s="1681" t="s">
        <v>25</v>
      </c>
      <c r="U9" s="1682">
        <f t="shared" si="1"/>
        <v>100</v>
      </c>
      <c r="V9" s="1681" t="s">
        <v>25</v>
      </c>
      <c r="W9" s="1682">
        <f t="shared" si="2"/>
        <v>100</v>
      </c>
      <c r="X9" s="1683"/>
      <c r="Y9" s="3557" t="s">
        <v>2266</v>
      </c>
      <c r="Z9" s="1693" t="str">
        <f t="shared" ref="Z9:Z15" si="7">Q9</f>
        <v>用途</v>
      </c>
      <c r="AA9" s="1684">
        <f t="shared" si="3"/>
        <v>1</v>
      </c>
      <c r="AB9" s="1684">
        <f t="shared" si="4"/>
        <v>1</v>
      </c>
      <c r="AC9" s="1684">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1"/>
      <c r="L10" s="2997"/>
      <c r="M10" s="2998"/>
      <c r="N10" s="2998"/>
      <c r="O10" s="2998"/>
      <c r="P10" s="3699"/>
      <c r="Q10" s="2913" t="str">
        <f t="shared" si="6"/>
        <v>土地使用年限（年）</v>
      </c>
      <c r="R10" s="1681" t="s">
        <v>25</v>
      </c>
      <c r="S10" s="1682">
        <f t="shared" si="0"/>
        <v>100</v>
      </c>
      <c r="T10" s="1681" t="s">
        <v>25</v>
      </c>
      <c r="U10" s="1682">
        <f t="shared" si="1"/>
        <v>100</v>
      </c>
      <c r="V10" s="1681" t="s">
        <v>25</v>
      </c>
      <c r="W10" s="1682">
        <f t="shared" si="2"/>
        <v>100</v>
      </c>
      <c r="X10" s="1683"/>
      <c r="Y10" s="3557"/>
      <c r="Z10" s="1693" t="str">
        <f t="shared" si="7"/>
        <v>土地使用年限（年）</v>
      </c>
      <c r="AA10" s="1684">
        <f t="shared" si="3"/>
        <v>1</v>
      </c>
      <c r="AB10" s="1684">
        <f t="shared" si="4"/>
        <v>1</v>
      </c>
      <c r="AC10" s="1684">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1"/>
      <c r="L11" s="2999"/>
      <c r="M11" s="2996"/>
      <c r="N11" s="2996"/>
      <c r="O11" s="2996"/>
      <c r="P11" s="3699"/>
      <c r="Q11" s="2913" t="str">
        <f t="shared" si="6"/>
        <v>容积率</v>
      </c>
      <c r="R11" s="1681" t="s">
        <v>25</v>
      </c>
      <c r="S11" s="1682" t="e">
        <f t="shared" si="0"/>
        <v>#N/A</v>
      </c>
      <c r="T11" s="1681" t="s">
        <v>25</v>
      </c>
      <c r="U11" s="1682" t="e">
        <f t="shared" si="1"/>
        <v>#N/A</v>
      </c>
      <c r="V11" s="1681" t="s">
        <v>25</v>
      </c>
      <c r="W11" s="1682" t="e">
        <f t="shared" si="2"/>
        <v>#N/A</v>
      </c>
      <c r="X11" s="1683"/>
      <c r="Y11" s="3557"/>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07"/>
      <c r="F12" s="1697">
        <f>SUMIF(71:71,E12,72:72)-SUMIF(71:71,C12,72:72)+100</f>
        <v>100</v>
      </c>
      <c r="G12" s="2489"/>
      <c r="H12" s="1697">
        <f>SUMIF(71:71,G12,72:72)-SUMIF(71:71,C12,72:72)+100</f>
        <v>100</v>
      </c>
      <c r="I12" s="1707"/>
      <c r="J12" s="1697">
        <f>SUMIF(71:71,I12,72:72)-SUMIF(71:71,C12,72:72)+100</f>
        <v>100</v>
      </c>
      <c r="K12" s="1988"/>
      <c r="L12" s="2995"/>
      <c r="M12" s="2968"/>
      <c r="N12" s="2968"/>
      <c r="O12" s="2968"/>
      <c r="P12" s="3699"/>
      <c r="Q12" s="2913">
        <f t="shared" si="6"/>
        <v>111</v>
      </c>
      <c r="R12" s="1681" t="s">
        <v>25</v>
      </c>
      <c r="S12" s="1682">
        <f t="shared" si="0"/>
        <v>100</v>
      </c>
      <c r="T12" s="1681" t="s">
        <v>25</v>
      </c>
      <c r="U12" s="1682">
        <f t="shared" si="1"/>
        <v>100</v>
      </c>
      <c r="V12" s="1681" t="s">
        <v>25</v>
      </c>
      <c r="W12" s="1682">
        <f t="shared" si="2"/>
        <v>100</v>
      </c>
      <c r="X12" s="1683"/>
      <c r="Y12" s="3557"/>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89"/>
      <c r="H13" s="1711">
        <f>SUMIF(73:73,G13,74:74)-SUMIF(73:73,C13,74:74)+100</f>
        <v>100</v>
      </c>
      <c r="I13" s="1707"/>
      <c r="J13" s="1711">
        <f>SUMIF(73:73,I13,74:74)-SUMIF(73:73,C13,74:74)+100</f>
        <v>100</v>
      </c>
      <c r="K13" s="1988"/>
      <c r="L13" s="3000"/>
      <c r="M13" s="2996"/>
      <c r="N13" s="2996"/>
      <c r="O13" s="2996"/>
      <c r="P13" s="3699"/>
      <c r="Q13" s="2913">
        <f t="shared" si="6"/>
        <v>111</v>
      </c>
      <c r="R13" s="1681" t="s">
        <v>25</v>
      </c>
      <c r="S13" s="1682">
        <f t="shared" si="0"/>
        <v>100</v>
      </c>
      <c r="T13" s="1681" t="s">
        <v>25</v>
      </c>
      <c r="U13" s="1682">
        <f t="shared" si="1"/>
        <v>100</v>
      </c>
      <c r="V13" s="1681" t="s">
        <v>25</v>
      </c>
      <c r="W13" s="1682">
        <f t="shared" si="2"/>
        <v>100</v>
      </c>
      <c r="X13" s="1683"/>
      <c r="Y13" s="3557"/>
      <c r="Z13" s="1693">
        <f t="shared" si="7"/>
        <v>111</v>
      </c>
      <c r="AA13" s="1684">
        <f t="shared" si="3"/>
        <v>1</v>
      </c>
      <c r="AB13" s="1684">
        <f t="shared" si="4"/>
        <v>1</v>
      </c>
      <c r="AC13" s="1684">
        <f t="shared" si="5"/>
        <v>1</v>
      </c>
    </row>
    <row r="14" spans="1:29" ht="15.75" thickBot="1">
      <c r="A14" s="1712"/>
      <c r="B14" s="1713">
        <v>111</v>
      </c>
      <c r="C14" s="1714"/>
      <c r="D14" s="1715">
        <v>100</v>
      </c>
      <c r="E14" s="2490"/>
      <c r="F14" s="1715">
        <f>SUMIF(75:75,E14,76:76)-SUMIF(75:75,C14,76:76)+100</f>
        <v>100</v>
      </c>
      <c r="G14" s="2489"/>
      <c r="H14" s="1715">
        <f>SUMIF(75:75,G14,76:76)-SUMIF(75:75,C14,76:76)+100</f>
        <v>100</v>
      </c>
      <c r="I14" s="1707"/>
      <c r="J14" s="1715">
        <f>SUMIF(75:75,I14,76:76)-SUMIF(75:75,C14,76:76)+100</f>
        <v>100</v>
      </c>
      <c r="K14" s="1988"/>
      <c r="L14" s="3000"/>
      <c r="M14" s="2996"/>
      <c r="N14" s="2996"/>
      <c r="O14" s="2996"/>
      <c r="P14" s="3699"/>
      <c r="Q14" s="2913">
        <f t="shared" si="6"/>
        <v>111</v>
      </c>
      <c r="R14" s="1681" t="s">
        <v>25</v>
      </c>
      <c r="S14" s="1682">
        <f t="shared" si="0"/>
        <v>100</v>
      </c>
      <c r="T14" s="1681" t="s">
        <v>25</v>
      </c>
      <c r="U14" s="1682">
        <f t="shared" si="1"/>
        <v>100</v>
      </c>
      <c r="V14" s="1681" t="s">
        <v>25</v>
      </c>
      <c r="W14" s="1682">
        <f t="shared" si="2"/>
        <v>100</v>
      </c>
      <c r="X14" s="1683"/>
      <c r="Y14" s="3557"/>
      <c r="Z14" s="1693">
        <f t="shared" si="7"/>
        <v>111</v>
      </c>
      <c r="AA14" s="1684">
        <f t="shared" si="3"/>
        <v>1</v>
      </c>
      <c r="AB14" s="1684">
        <f t="shared" si="4"/>
        <v>1</v>
      </c>
      <c r="AC14" s="1684">
        <f t="shared" si="5"/>
        <v>1</v>
      </c>
    </row>
    <row r="15" spans="1:29" ht="71.25">
      <c r="A15" s="1717" t="s">
        <v>2269</v>
      </c>
      <c r="B15" s="2491" t="s">
        <v>2383</v>
      </c>
      <c r="C15" s="1972"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1"/>
      <c r="L15" s="3000"/>
      <c r="M15" s="2996"/>
      <c r="N15" s="2996"/>
      <c r="O15" s="2996"/>
      <c r="P15" s="3702" t="s">
        <v>2270</v>
      </c>
      <c r="Q15" s="2914" t="str">
        <f t="shared" si="6"/>
        <v>办公集聚程度</v>
      </c>
      <c r="R15" s="1725" t="s">
        <v>25</v>
      </c>
      <c r="S15" s="1726">
        <f t="shared" si="0"/>
        <v>100</v>
      </c>
      <c r="T15" s="1725" t="s">
        <v>25</v>
      </c>
      <c r="U15" s="1726">
        <f t="shared" si="1"/>
        <v>100</v>
      </c>
      <c r="V15" s="1725" t="s">
        <v>25</v>
      </c>
      <c r="W15" s="1726">
        <f t="shared" si="2"/>
        <v>100</v>
      </c>
      <c r="X15" s="2073"/>
      <c r="Y15" s="3702" t="s">
        <v>2270</v>
      </c>
      <c r="Z15" s="2077" t="str">
        <f t="shared" si="7"/>
        <v>办公集聚程度</v>
      </c>
      <c r="AA15" s="2068">
        <f t="shared" si="3"/>
        <v>1</v>
      </c>
      <c r="AB15" s="2068">
        <f t="shared" si="4"/>
        <v>1</v>
      </c>
      <c r="AC15" s="2068">
        <f t="shared" si="5"/>
        <v>1</v>
      </c>
    </row>
    <row r="16" spans="1:29" ht="15">
      <c r="A16" s="1702"/>
      <c r="B16" s="2492"/>
      <c r="C16" s="1974"/>
      <c r="D16" s="1731"/>
      <c r="E16" s="1730"/>
      <c r="F16" s="1731"/>
      <c r="G16" s="1974"/>
      <c r="H16" s="1735"/>
      <c r="I16" s="1730"/>
      <c r="J16" s="1731"/>
      <c r="K16" s="2472"/>
      <c r="L16" s="3000"/>
      <c r="M16" s="2996"/>
      <c r="N16" s="2996"/>
      <c r="O16" s="2996"/>
      <c r="P16" s="3703"/>
      <c r="Q16" s="2914"/>
      <c r="R16" s="1725"/>
      <c r="S16" s="1726"/>
      <c r="T16" s="1725"/>
      <c r="U16" s="1726"/>
      <c r="V16" s="1725"/>
      <c r="W16" s="1726"/>
      <c r="X16" s="2073"/>
      <c r="Y16" s="3703"/>
      <c r="Z16" s="2077"/>
      <c r="AA16" s="2068">
        <v>1</v>
      </c>
      <c r="AB16" s="2068">
        <v>1</v>
      </c>
      <c r="AC16" s="2068">
        <v>1</v>
      </c>
    </row>
    <row r="17" spans="1:29" ht="142.5">
      <c r="A17" s="1702"/>
      <c r="B17" s="2493" t="s">
        <v>1705</v>
      </c>
      <c r="C17" s="1979" t="str">
        <f>估价对象房地状况!C6</f>
        <v>距地铁1号线四惠站（换乘站）约1000米（2003），距地铁7号线百子湾站约1.5公里（2014），周边有多条公交线路通过，交通便捷度较好</v>
      </c>
      <c r="D17" s="1735">
        <v>100</v>
      </c>
      <c r="E17" s="1741"/>
      <c r="F17" s="1735">
        <f>SUMIF(79:79,E18,80:80)-SUMIF(79:79,C18,80:80)+100</f>
        <v>100</v>
      </c>
      <c r="G17" s="1739"/>
      <c r="H17" s="1742">
        <f>SUMIF(79:79,G18,80:80)-SUMIF(79:79,C18,80:80)+100</f>
        <v>100</v>
      </c>
      <c r="I17" s="1739"/>
      <c r="J17" s="1742">
        <f>SUMIF(79:79,I18,80:80)-SUMIF(79:79,C18,80:80)+100</f>
        <v>100</v>
      </c>
      <c r="K17" s="2471"/>
      <c r="L17" s="3000"/>
      <c r="M17" s="2996"/>
      <c r="N17" s="2996"/>
      <c r="O17" s="2996"/>
      <c r="P17" s="3703"/>
      <c r="Q17" s="2914" t="str">
        <f>B17</f>
        <v>交通便捷度</v>
      </c>
      <c r="R17" s="1725" t="s">
        <v>25</v>
      </c>
      <c r="S17" s="1726">
        <f>F17</f>
        <v>100</v>
      </c>
      <c r="T17" s="1725" t="s">
        <v>25</v>
      </c>
      <c r="U17" s="1726">
        <f>H17</f>
        <v>100</v>
      </c>
      <c r="V17" s="1725" t="s">
        <v>25</v>
      </c>
      <c r="W17" s="1726">
        <f>J17</f>
        <v>100</v>
      </c>
      <c r="X17" s="2073"/>
      <c r="Y17" s="3703"/>
      <c r="Z17" s="2077" t="str">
        <f>Q17</f>
        <v>交通便捷度</v>
      </c>
      <c r="AA17" s="2068">
        <f t="shared" si="3"/>
        <v>1</v>
      </c>
      <c r="AB17" s="2068">
        <f t="shared" si="4"/>
        <v>1</v>
      </c>
      <c r="AC17" s="2068">
        <f t="shared" si="5"/>
        <v>1</v>
      </c>
    </row>
    <row r="18" spans="1:29" ht="15">
      <c r="A18" s="1702"/>
      <c r="B18" s="2494"/>
      <c r="C18" s="1978"/>
      <c r="D18" s="1735"/>
      <c r="E18" s="1746"/>
      <c r="F18" s="1735"/>
      <c r="G18" s="1745"/>
      <c r="H18" s="1731"/>
      <c r="I18" s="1745"/>
      <c r="J18" s="1731"/>
      <c r="K18" s="2472"/>
      <c r="L18" s="3000"/>
      <c r="M18" s="2996"/>
      <c r="N18" s="2996"/>
      <c r="O18" s="2996"/>
      <c r="P18" s="3703"/>
      <c r="Q18" s="2914"/>
      <c r="R18" s="1725"/>
      <c r="S18" s="1726"/>
      <c r="T18" s="1725"/>
      <c r="U18" s="1726"/>
      <c r="V18" s="1725"/>
      <c r="W18" s="1726"/>
      <c r="X18" s="2073"/>
      <c r="Y18" s="3703"/>
      <c r="Z18" s="2077"/>
      <c r="AA18" s="2068">
        <v>1</v>
      </c>
      <c r="AB18" s="2068">
        <v>1</v>
      </c>
      <c r="AC18" s="2068">
        <v>1</v>
      </c>
    </row>
    <row r="19" spans="1:29" ht="199.5">
      <c r="A19" s="1702"/>
      <c r="B19" s="2493" t="s">
        <v>2384</v>
      </c>
      <c r="C19" s="1979" t="str">
        <f>估价对象房地状况!C7</f>
        <v>华堂商场（十里堡店）、北京四惠中医医院（2016）、北京市朝阳区日坛小学（1962）、垂杨柳第四小学（1971）、北京市第十七中学（百子湾校区）（1946）、北京市日坛中学（四惠校区）（2015）</v>
      </c>
      <c r="D19" s="1742">
        <v>100</v>
      </c>
      <c r="E19" s="1749"/>
      <c r="F19" s="1742">
        <f>SUMIF(81:81,E20,82:82)-SUMIF(81:81,C20,82:82)+100</f>
        <v>100</v>
      </c>
      <c r="G19" s="1747"/>
      <c r="H19" s="1735">
        <f>SUMIF(81:81,G20,82:82)-SUMIF(81:81,C20,82:82)+100</f>
        <v>100</v>
      </c>
      <c r="I19" s="1747"/>
      <c r="J19" s="1735">
        <f>SUMIF(81:81,I20,82:82)-SUMIF(81:81,C20,82:82)+100</f>
        <v>100</v>
      </c>
      <c r="K19" s="2471"/>
      <c r="L19" s="3000"/>
      <c r="M19" s="2996"/>
      <c r="N19" s="2996"/>
      <c r="O19" s="2996"/>
      <c r="P19" s="3703"/>
      <c r="Q19" s="2914" t="str">
        <f>B19</f>
        <v>公共配套设施</v>
      </c>
      <c r="R19" s="1725" t="s">
        <v>25</v>
      </c>
      <c r="S19" s="1726">
        <f>F19</f>
        <v>100</v>
      </c>
      <c r="T19" s="1725" t="s">
        <v>25</v>
      </c>
      <c r="U19" s="1726">
        <f>H19</f>
        <v>100</v>
      </c>
      <c r="V19" s="1725" t="s">
        <v>25</v>
      </c>
      <c r="W19" s="1726">
        <f>J19</f>
        <v>100</v>
      </c>
      <c r="X19" s="2073"/>
      <c r="Y19" s="3703"/>
      <c r="Z19" s="2077" t="str">
        <f>Q19</f>
        <v>公共配套设施</v>
      </c>
      <c r="AA19" s="2068">
        <f t="shared" si="3"/>
        <v>1</v>
      </c>
      <c r="AB19" s="2068">
        <f t="shared" si="4"/>
        <v>1</v>
      </c>
      <c r="AC19" s="2068">
        <f t="shared" si="5"/>
        <v>1</v>
      </c>
    </row>
    <row r="20" spans="1:29" ht="15">
      <c r="A20" s="1702"/>
      <c r="B20" s="2494"/>
      <c r="C20" s="1974"/>
      <c r="D20" s="1731"/>
      <c r="E20" s="1734"/>
      <c r="F20" s="1731"/>
      <c r="G20" s="1732"/>
      <c r="H20" s="1731"/>
      <c r="I20" s="1732"/>
      <c r="J20" s="1731"/>
      <c r="K20" s="2472"/>
      <c r="L20" s="3000"/>
      <c r="M20" s="2996"/>
      <c r="N20" s="2996"/>
      <c r="O20" s="2996"/>
      <c r="P20" s="3703"/>
      <c r="Q20" s="2914"/>
      <c r="R20" s="1725"/>
      <c r="S20" s="1726"/>
      <c r="T20" s="1725"/>
      <c r="U20" s="1726"/>
      <c r="V20" s="1725"/>
      <c r="W20" s="1726"/>
      <c r="X20" s="2073"/>
      <c r="Y20" s="3703"/>
      <c r="Z20" s="2077"/>
      <c r="AA20" s="2068">
        <v>1</v>
      </c>
      <c r="AB20" s="2068">
        <v>1</v>
      </c>
      <c r="AC20" s="2068">
        <v>1</v>
      </c>
    </row>
    <row r="21" spans="1:29" ht="15">
      <c r="A21" s="1702"/>
      <c r="B21" s="2495" t="s">
        <v>2385</v>
      </c>
      <c r="C21" s="1979"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1"/>
      <c r="L21" s="3000"/>
      <c r="M21" s="2996"/>
      <c r="N21" s="2996"/>
      <c r="O21" s="2996"/>
      <c r="P21" s="3703"/>
      <c r="Q21" s="2914" t="str">
        <f>B21</f>
        <v>基础设施水平</v>
      </c>
      <c r="R21" s="1725" t="s">
        <v>25</v>
      </c>
      <c r="S21" s="1726">
        <f>F21</f>
        <v>100</v>
      </c>
      <c r="T21" s="1725" t="s">
        <v>25</v>
      </c>
      <c r="U21" s="1726">
        <f>H21</f>
        <v>100</v>
      </c>
      <c r="V21" s="1725" t="s">
        <v>25</v>
      </c>
      <c r="W21" s="1726">
        <f>J21</f>
        <v>100</v>
      </c>
      <c r="X21" s="2073"/>
      <c r="Y21" s="3703"/>
      <c r="Z21" s="2077" t="str">
        <f>Q21</f>
        <v>基础设施水平</v>
      </c>
      <c r="AA21" s="2068">
        <f t="shared" ref="AA21" si="8">D21/F21</f>
        <v>1</v>
      </c>
      <c r="AB21" s="2068">
        <f t="shared" ref="AB21" si="9">D21/H21</f>
        <v>1</v>
      </c>
      <c r="AC21" s="2068">
        <f t="shared" ref="AC21" si="10">D21/J21</f>
        <v>1</v>
      </c>
    </row>
    <row r="22" spans="1:29" ht="15">
      <c r="A22" s="1702"/>
      <c r="B22" s="2495"/>
      <c r="C22" s="1978"/>
      <c r="D22" s="1731"/>
      <c r="E22" s="1730"/>
      <c r="F22" s="1731"/>
      <c r="G22" s="1974"/>
      <c r="H22" s="1731"/>
      <c r="I22" s="1974"/>
      <c r="J22" s="1731"/>
      <c r="K22" s="2473"/>
      <c r="L22" s="3000"/>
      <c r="M22" s="2996"/>
      <c r="N22" s="2996"/>
      <c r="O22" s="2996"/>
      <c r="P22" s="3703"/>
      <c r="Q22" s="2914"/>
      <c r="R22" s="1725"/>
      <c r="S22" s="1726"/>
      <c r="T22" s="1725"/>
      <c r="U22" s="1726"/>
      <c r="V22" s="1725"/>
      <c r="W22" s="1726"/>
      <c r="X22" s="2073"/>
      <c r="Y22" s="3703"/>
      <c r="Z22" s="2077"/>
      <c r="AA22" s="2068">
        <v>1</v>
      </c>
      <c r="AB22" s="2068">
        <v>1</v>
      </c>
      <c r="AC22" s="2068">
        <v>1</v>
      </c>
    </row>
    <row r="23" spans="1:29" ht="128.25">
      <c r="A23" s="1702"/>
      <c r="B23" s="2493" t="s">
        <v>2386</v>
      </c>
      <c r="C23" s="1979" t="str">
        <f>估价对象房地状况!C9</f>
        <v>区域自然环境：惠水湾森林公园（2019）、百子湾绿地公园（2019）；人文环境：北京政法职业学院(杨闸校区)；综合评价环境状况较好</v>
      </c>
      <c r="D23" s="1735">
        <v>100</v>
      </c>
      <c r="E23" s="1741"/>
      <c r="F23" s="1735">
        <f>SUMIF(85:85,E24,86:86)-SUMIF(85:85,C24,86:86)+100</f>
        <v>100</v>
      </c>
      <c r="G23" s="1739"/>
      <c r="H23" s="1735">
        <f>SUMIF(85:85,G24,86:86)-SUMIF(85:85,C24,86:86)+100</f>
        <v>100</v>
      </c>
      <c r="I23" s="1739"/>
      <c r="J23" s="1735">
        <f>SUMIF(85:85,I24,86:86)-SUMIF(85:85,C24,86:86)+100</f>
        <v>100</v>
      </c>
      <c r="K23" s="2471"/>
      <c r="L23" s="3000"/>
      <c r="M23" s="2996"/>
      <c r="N23" s="2996"/>
      <c r="O23" s="2996"/>
      <c r="P23" s="3703"/>
      <c r="Q23" s="2914" t="str">
        <f>B23</f>
        <v>环境质量</v>
      </c>
      <c r="R23" s="1725" t="s">
        <v>25</v>
      </c>
      <c r="S23" s="1726">
        <f>F23</f>
        <v>100</v>
      </c>
      <c r="T23" s="1725" t="s">
        <v>25</v>
      </c>
      <c r="U23" s="1726">
        <f>H23</f>
        <v>100</v>
      </c>
      <c r="V23" s="1725" t="s">
        <v>25</v>
      </c>
      <c r="W23" s="1726">
        <f>J23</f>
        <v>100</v>
      </c>
      <c r="X23" s="2073"/>
      <c r="Y23" s="3703"/>
      <c r="Z23" s="2077" t="str">
        <f>Q23</f>
        <v>环境质量</v>
      </c>
      <c r="AA23" s="2068">
        <f t="shared" si="3"/>
        <v>1</v>
      </c>
      <c r="AB23" s="2068">
        <f t="shared" si="4"/>
        <v>1</v>
      </c>
      <c r="AC23" s="2068">
        <f t="shared" si="5"/>
        <v>1</v>
      </c>
    </row>
    <row r="24" spans="1:29" ht="15">
      <c r="A24" s="1702"/>
      <c r="B24" s="2495"/>
      <c r="C24" s="1974"/>
      <c r="D24" s="1731"/>
      <c r="E24" s="1734"/>
      <c r="F24" s="1731"/>
      <c r="G24" s="1732"/>
      <c r="H24" s="1731"/>
      <c r="I24" s="1732"/>
      <c r="J24" s="1731"/>
      <c r="K24" s="2472"/>
      <c r="L24" s="3000"/>
      <c r="M24" s="2996"/>
      <c r="N24" s="2996"/>
      <c r="O24" s="2996"/>
      <c r="P24" s="3703"/>
      <c r="Q24" s="2914"/>
      <c r="R24" s="1725"/>
      <c r="S24" s="1726"/>
      <c r="T24" s="1725"/>
      <c r="U24" s="1726"/>
      <c r="V24" s="1725"/>
      <c r="W24" s="1726"/>
      <c r="X24" s="2073"/>
      <c r="Y24" s="3703"/>
      <c r="Z24" s="2077"/>
      <c r="AA24" s="2068">
        <v>1</v>
      </c>
      <c r="AB24" s="2068">
        <v>1</v>
      </c>
      <c r="AC24" s="2068">
        <v>1</v>
      </c>
    </row>
    <row r="25" spans="1:29" ht="27">
      <c r="A25" s="1668"/>
      <c r="B25" s="2493" t="s">
        <v>2387</v>
      </c>
      <c r="C25" s="2496"/>
      <c r="D25" s="1711">
        <v>100</v>
      </c>
      <c r="E25" s="1710"/>
      <c r="F25" s="1711">
        <f>SUMIF(87:87,E26,88:88)-SUMIF(87:87,C26,88:88)+100</f>
        <v>100</v>
      </c>
      <c r="G25" s="2496"/>
      <c r="H25" s="1711">
        <f>SUMIF(87:87,G26,88:88)-SUMIF(87:87,C26,88:88)+100</f>
        <v>100</v>
      </c>
      <c r="I25" s="1710"/>
      <c r="J25" s="1711">
        <f>SUMIF(87:87,I26,88:88)-SUMIF(87:87,C26,88:88)+100</f>
        <v>100</v>
      </c>
      <c r="K25" s="2471"/>
      <c r="L25" s="3000"/>
      <c r="M25" s="2996"/>
      <c r="N25" s="2996"/>
      <c r="O25" s="2996"/>
      <c r="P25" s="3703"/>
      <c r="Q25" s="2914" t="str">
        <f>B25</f>
        <v>毗邻道路的类型与等级</v>
      </c>
      <c r="R25" s="1725" t="s">
        <v>25</v>
      </c>
      <c r="S25" s="1726">
        <f>F25</f>
        <v>100</v>
      </c>
      <c r="T25" s="1725" t="s">
        <v>25</v>
      </c>
      <c r="U25" s="1726">
        <f>H25</f>
        <v>100</v>
      </c>
      <c r="V25" s="1725" t="s">
        <v>25</v>
      </c>
      <c r="W25" s="1726">
        <f>J25</f>
        <v>100</v>
      </c>
      <c r="X25" s="2073"/>
      <c r="Y25" s="3703"/>
      <c r="Z25" s="2077" t="str">
        <f>Q25</f>
        <v>毗邻道路的类型与等级</v>
      </c>
      <c r="AA25" s="2068">
        <f t="shared" si="3"/>
        <v>1</v>
      </c>
      <c r="AB25" s="2068">
        <f t="shared" si="4"/>
        <v>1</v>
      </c>
      <c r="AC25" s="2068">
        <f t="shared" si="5"/>
        <v>1</v>
      </c>
    </row>
    <row r="26" spans="1:29" ht="15">
      <c r="A26" s="1668"/>
      <c r="B26" s="2494"/>
      <c r="C26" s="1982"/>
      <c r="D26" s="1711"/>
      <c r="E26" s="1990"/>
      <c r="F26" s="1711"/>
      <c r="G26" s="1982"/>
      <c r="H26" s="1711"/>
      <c r="I26" s="1990"/>
      <c r="J26" s="1711"/>
      <c r="K26" s="2472"/>
      <c r="L26" s="3000"/>
      <c r="M26" s="2996"/>
      <c r="N26" s="2996"/>
      <c r="O26" s="2996"/>
      <c r="P26" s="3703"/>
      <c r="Q26" s="2914"/>
      <c r="R26" s="1725"/>
      <c r="S26" s="1726"/>
      <c r="T26" s="1725"/>
      <c r="U26" s="1726"/>
      <c r="V26" s="1725"/>
      <c r="W26" s="1726"/>
      <c r="X26" s="2073"/>
      <c r="Y26" s="3703"/>
      <c r="Z26" s="2077"/>
      <c r="AA26" s="2068">
        <v>1</v>
      </c>
      <c r="AB26" s="2068">
        <v>1</v>
      </c>
      <c r="AC26" s="2068">
        <v>1</v>
      </c>
    </row>
    <row r="27" spans="1:29" ht="15">
      <c r="A27" s="1702"/>
      <c r="B27" s="2494" t="s">
        <v>2360</v>
      </c>
      <c r="C27" s="1982"/>
      <c r="D27" s="1711">
        <v>100</v>
      </c>
      <c r="E27" s="1990"/>
      <c r="F27" s="1711">
        <f>SUMIF(89:89,E27,90:90)-SUMIF(89:89,C27,90:90)+100</f>
        <v>100</v>
      </c>
      <c r="G27" s="1982"/>
      <c r="H27" s="1711">
        <f>SUMIF(89:89,G27,90:90)-SUMIF(89:89,C27,90:90)+100</f>
        <v>100</v>
      </c>
      <c r="I27" s="1990"/>
      <c r="J27" s="1711">
        <f>SUMIF(89:89,I27,90:90)-SUMIF(89:89,C27,90:90)+100</f>
        <v>100</v>
      </c>
      <c r="K27" s="1991"/>
      <c r="L27" s="3000"/>
      <c r="M27" s="2996"/>
      <c r="N27" s="2996"/>
      <c r="O27" s="2996"/>
      <c r="P27" s="3703"/>
      <c r="Q27" s="2914" t="str">
        <f t="shared" ref="Q27:Q47" si="11">B27</f>
        <v>楼层</v>
      </c>
      <c r="R27" s="1725" t="s">
        <v>25</v>
      </c>
      <c r="S27" s="1726">
        <f>F27</f>
        <v>100</v>
      </c>
      <c r="T27" s="1725" t="s">
        <v>25</v>
      </c>
      <c r="U27" s="1726">
        <f>H27</f>
        <v>100</v>
      </c>
      <c r="V27" s="1725" t="s">
        <v>25</v>
      </c>
      <c r="W27" s="1726">
        <f>J27</f>
        <v>100</v>
      </c>
      <c r="X27" s="2073"/>
      <c r="Y27" s="3703"/>
      <c r="Z27" s="2077" t="str">
        <f>Q27</f>
        <v>楼层</v>
      </c>
      <c r="AA27" s="2068">
        <f t="shared" si="3"/>
        <v>1</v>
      </c>
      <c r="AB27" s="2068">
        <f t="shared" si="4"/>
        <v>1</v>
      </c>
      <c r="AC27" s="2068">
        <f t="shared" si="5"/>
        <v>1</v>
      </c>
    </row>
    <row r="28" spans="1:29" s="1685" customFormat="1" ht="15">
      <c r="A28" s="1705"/>
      <c r="B28" s="2493" t="s">
        <v>2388</v>
      </c>
      <c r="C28" s="2497"/>
      <c r="D28" s="1756">
        <v>100</v>
      </c>
      <c r="E28" s="2475"/>
      <c r="F28" s="1756">
        <f>SUMIF(91:91,E28,92:92)-SUMIF(91:91,C28,92:92)+100</f>
        <v>100</v>
      </c>
      <c r="G28" s="2497"/>
      <c r="H28" s="1756">
        <f>SUMIF(91:91,G28,92:92)-SUMIF(91:91,C28,92:92)+100</f>
        <v>100</v>
      </c>
      <c r="I28" s="2475"/>
      <c r="J28" s="1756">
        <f>SUMIF(91:91,I28,92:92)-SUMIF(91:91,C28,92:92)+100</f>
        <v>100</v>
      </c>
      <c r="K28" s="1991"/>
      <c r="L28" s="2995"/>
      <c r="M28" s="2968"/>
      <c r="N28" s="2968"/>
      <c r="O28" s="2968"/>
      <c r="P28" s="3703"/>
      <c r="Q28" s="2913" t="str">
        <f t="shared" si="11"/>
        <v>朝向</v>
      </c>
      <c r="R28" s="1681" t="s">
        <v>25</v>
      </c>
      <c r="S28" s="1682">
        <f>F28</f>
        <v>100</v>
      </c>
      <c r="T28" s="1681" t="s">
        <v>25</v>
      </c>
      <c r="U28" s="1682">
        <f>H28</f>
        <v>100</v>
      </c>
      <c r="V28" s="1681" t="s">
        <v>25</v>
      </c>
      <c r="W28" s="1682">
        <f>J28</f>
        <v>100</v>
      </c>
      <c r="X28" s="1683"/>
      <c r="Y28" s="3703"/>
      <c r="Z28" s="1693" t="str">
        <f>Q28</f>
        <v>朝向</v>
      </c>
      <c r="AA28" s="2068">
        <f>D28/F28</f>
        <v>1</v>
      </c>
      <c r="AB28" s="2068">
        <f>D28/H28</f>
        <v>1</v>
      </c>
      <c r="AC28" s="2068">
        <f>D28/J28</f>
        <v>1</v>
      </c>
    </row>
    <row r="29" spans="1:29" ht="15">
      <c r="A29" s="1702"/>
      <c r="B29" s="2498">
        <v>111</v>
      </c>
      <c r="C29" s="2496"/>
      <c r="D29" s="1711">
        <v>100</v>
      </c>
      <c r="E29" s="1707"/>
      <c r="F29" s="1711">
        <f>SUMIF(93:93,E29,94:94)-SUMIF(93:93,C29,94:94)+100</f>
        <v>100</v>
      </c>
      <c r="G29" s="2489"/>
      <c r="H29" s="1711">
        <f>SUMIF(93:93,G29,94:94)-SUMIF(93:93,C29,94:94)+100</f>
        <v>100</v>
      </c>
      <c r="I29" s="1707"/>
      <c r="J29" s="1711">
        <f>SUMIF(93:93,I29,94:94)-SUMIF(93:93,C29,94:94)+100</f>
        <v>100</v>
      </c>
      <c r="K29" s="1988"/>
      <c r="L29" s="3000"/>
      <c r="M29" s="2996"/>
      <c r="N29" s="2996"/>
      <c r="O29" s="2996"/>
      <c r="P29" s="3703"/>
      <c r="Q29" s="2914">
        <f t="shared" si="11"/>
        <v>111</v>
      </c>
      <c r="R29" s="1725" t="s">
        <v>25</v>
      </c>
      <c r="S29" s="1726">
        <f t="shared" ref="S29:S47" si="12">F29</f>
        <v>100</v>
      </c>
      <c r="T29" s="1725" t="s">
        <v>25</v>
      </c>
      <c r="U29" s="1726">
        <f t="shared" ref="U29:U47" si="13">H29</f>
        <v>100</v>
      </c>
      <c r="V29" s="1725" t="s">
        <v>25</v>
      </c>
      <c r="W29" s="1726">
        <f t="shared" ref="W29:W47" si="14">J29</f>
        <v>100</v>
      </c>
      <c r="X29" s="2073"/>
      <c r="Y29" s="3703"/>
      <c r="Z29" s="2077">
        <f t="shared" ref="Z29:Z47" si="15">Q29</f>
        <v>111</v>
      </c>
      <c r="AA29" s="2068">
        <f t="shared" si="3"/>
        <v>1</v>
      </c>
      <c r="AB29" s="2068">
        <f t="shared" si="4"/>
        <v>1</v>
      </c>
      <c r="AC29" s="2068">
        <f t="shared" si="5"/>
        <v>1</v>
      </c>
    </row>
    <row r="30" spans="1:29" ht="15">
      <c r="A30" s="1702"/>
      <c r="B30" s="2498">
        <v>111</v>
      </c>
      <c r="C30" s="2496"/>
      <c r="D30" s="1711">
        <v>100</v>
      </c>
      <c r="E30" s="1707"/>
      <c r="F30" s="1711">
        <f>SUMIF(95:95,E30,96:96)-SUMIF(95:95,C30,96:96)+100</f>
        <v>100</v>
      </c>
      <c r="G30" s="2489"/>
      <c r="H30" s="1711">
        <f>SUMIF(95:95,G30,96:96)-SUMIF(95:95,C30,96:96)+100</f>
        <v>100</v>
      </c>
      <c r="I30" s="1707"/>
      <c r="J30" s="1711">
        <f>SUMIF(95:95,I30,96:96)-SUMIF(95:95,C30,96:96)+100</f>
        <v>100</v>
      </c>
      <c r="K30" s="1988"/>
      <c r="L30" s="3000"/>
      <c r="M30" s="2996"/>
      <c r="N30" s="2996"/>
      <c r="O30" s="2996"/>
      <c r="P30" s="3703"/>
      <c r="Q30" s="2914">
        <f t="shared" si="11"/>
        <v>111</v>
      </c>
      <c r="R30" s="1725" t="s">
        <v>25</v>
      </c>
      <c r="S30" s="1726">
        <f t="shared" si="12"/>
        <v>100</v>
      </c>
      <c r="T30" s="1725" t="s">
        <v>25</v>
      </c>
      <c r="U30" s="1726">
        <f t="shared" si="13"/>
        <v>100</v>
      </c>
      <c r="V30" s="1725" t="s">
        <v>25</v>
      </c>
      <c r="W30" s="1726">
        <f t="shared" si="14"/>
        <v>100</v>
      </c>
      <c r="X30" s="2073"/>
      <c r="Y30" s="3703"/>
      <c r="Z30" s="2077">
        <f t="shared" si="15"/>
        <v>111</v>
      </c>
      <c r="AA30" s="2068">
        <f t="shared" si="3"/>
        <v>1</v>
      </c>
      <c r="AB30" s="2068">
        <f t="shared" si="4"/>
        <v>1</v>
      </c>
      <c r="AC30" s="2068">
        <f t="shared" si="5"/>
        <v>1</v>
      </c>
    </row>
    <row r="31" spans="1:29" ht="15">
      <c r="A31" s="1702"/>
      <c r="B31" s="2498">
        <v>111</v>
      </c>
      <c r="C31" s="2496"/>
      <c r="D31" s="1711">
        <v>100</v>
      </c>
      <c r="E31" s="1707"/>
      <c r="F31" s="1711">
        <f>SUMIF(97:97,E31,98:98)-SUMIF(97:97,C31,98:98)+100</f>
        <v>100</v>
      </c>
      <c r="G31" s="2489"/>
      <c r="H31" s="1711">
        <f>SUMIF(97:97,G31,98:98)-SUMIF(97:97,C31,98:98)+100</f>
        <v>100</v>
      </c>
      <c r="I31" s="1707"/>
      <c r="J31" s="1711">
        <f>SUMIF(97:97,I31,98:98)-SUMIF(97:97,C31,98:98)+100</f>
        <v>100</v>
      </c>
      <c r="K31" s="1988"/>
      <c r="L31" s="3000"/>
      <c r="M31" s="2996"/>
      <c r="N31" s="2996"/>
      <c r="O31" s="2996"/>
      <c r="P31" s="3703"/>
      <c r="Q31" s="2914">
        <f t="shared" si="11"/>
        <v>111</v>
      </c>
      <c r="R31" s="1725" t="s">
        <v>25</v>
      </c>
      <c r="S31" s="1726">
        <f t="shared" si="12"/>
        <v>100</v>
      </c>
      <c r="T31" s="1725" t="s">
        <v>25</v>
      </c>
      <c r="U31" s="1726">
        <f t="shared" si="13"/>
        <v>100</v>
      </c>
      <c r="V31" s="1725" t="s">
        <v>25</v>
      </c>
      <c r="W31" s="1726">
        <f t="shared" si="14"/>
        <v>100</v>
      </c>
      <c r="X31" s="2073"/>
      <c r="Y31" s="3703"/>
      <c r="Z31" s="2077">
        <f t="shared" si="15"/>
        <v>111</v>
      </c>
      <c r="AA31" s="2068">
        <f t="shared" si="3"/>
        <v>1</v>
      </c>
      <c r="AB31" s="2068">
        <f t="shared" si="4"/>
        <v>1</v>
      </c>
      <c r="AC31" s="2068">
        <f t="shared" si="5"/>
        <v>1</v>
      </c>
    </row>
    <row r="32" spans="1:29" ht="15.75" thickBot="1">
      <c r="A32" s="1712"/>
      <c r="B32" s="2499">
        <v>111</v>
      </c>
      <c r="C32" s="2500"/>
      <c r="D32" s="1715">
        <v>100</v>
      </c>
      <c r="E32" s="2490"/>
      <c r="F32" s="1715">
        <f>SUMIF(99:99,E32,100:100)-SUMIF(99:99,C32,100:100)+100</f>
        <v>100</v>
      </c>
      <c r="G32" s="2489"/>
      <c r="H32" s="1715">
        <f>SUMIF(99:99,G32,100:100)-SUMIF(99:99,C32,100:100)+100</f>
        <v>100</v>
      </c>
      <c r="I32" s="1707"/>
      <c r="J32" s="1715">
        <f>SUMIF(99:99,I32,100:100)-SUMIF(99:99,C32,100:100)+100</f>
        <v>100</v>
      </c>
      <c r="K32" s="1988"/>
      <c r="L32" s="3000"/>
      <c r="M32" s="2996"/>
      <c r="N32" s="2996"/>
      <c r="O32" s="2996"/>
      <c r="P32" s="3703"/>
      <c r="Q32" s="2914">
        <f t="shared" si="11"/>
        <v>111</v>
      </c>
      <c r="R32" s="1725" t="s">
        <v>25</v>
      </c>
      <c r="S32" s="1726">
        <f t="shared" si="12"/>
        <v>100</v>
      </c>
      <c r="T32" s="1725" t="s">
        <v>25</v>
      </c>
      <c r="U32" s="1726">
        <f t="shared" si="13"/>
        <v>100</v>
      </c>
      <c r="V32" s="1725" t="s">
        <v>25</v>
      </c>
      <c r="W32" s="1726">
        <f t="shared" si="14"/>
        <v>100</v>
      </c>
      <c r="X32" s="2073"/>
      <c r="Y32" s="3703"/>
      <c r="Z32" s="2077">
        <f t="shared" si="15"/>
        <v>111</v>
      </c>
      <c r="AA32" s="2068">
        <f t="shared" si="3"/>
        <v>1</v>
      </c>
      <c r="AB32" s="2068">
        <f t="shared" si="4"/>
        <v>1</v>
      </c>
      <c r="AC32" s="2068">
        <f t="shared" si="5"/>
        <v>1</v>
      </c>
    </row>
    <row r="33" spans="1:29" ht="15">
      <c r="A33" s="1717" t="s">
        <v>2273</v>
      </c>
      <c r="B33" s="1687" t="s">
        <v>2389</v>
      </c>
      <c r="C33" s="2501"/>
      <c r="D33" s="1762">
        <v>100</v>
      </c>
      <c r="E33" s="2501"/>
      <c r="F33" s="1754">
        <f>SUMIF(101:101,E33,102:102)-SUMIF(101:101,C33,102:102)+100</f>
        <v>100</v>
      </c>
      <c r="G33" s="2501"/>
      <c r="H33" s="1711">
        <f>SUMIF(101:101,G33,102:102)-SUMIF(101:101,C33,102:102)+100</f>
        <v>100</v>
      </c>
      <c r="I33" s="2501"/>
      <c r="J33" s="1762">
        <f>SUMIF(101:101,I33,102:102)-SUMIF(101:101,C33,102:102)+100</f>
        <v>100</v>
      </c>
      <c r="K33" s="1991"/>
      <c r="L33" s="3000"/>
      <c r="M33" s="2996"/>
      <c r="N33" s="2996"/>
      <c r="O33" s="2996"/>
      <c r="P33" s="3743" t="s">
        <v>2275</v>
      </c>
      <c r="Q33" s="2914" t="str">
        <f t="shared" si="11"/>
        <v>建筑类型</v>
      </c>
      <c r="R33" s="1725" t="s">
        <v>25</v>
      </c>
      <c r="S33" s="1726">
        <f t="shared" si="12"/>
        <v>100</v>
      </c>
      <c r="T33" s="1725" t="s">
        <v>25</v>
      </c>
      <c r="U33" s="1726">
        <f t="shared" si="13"/>
        <v>100</v>
      </c>
      <c r="V33" s="1725" t="s">
        <v>25</v>
      </c>
      <c r="W33" s="1726">
        <f t="shared" si="14"/>
        <v>100</v>
      </c>
      <c r="X33" s="2073"/>
      <c r="Y33" s="3707" t="s">
        <v>2275</v>
      </c>
      <c r="Z33" s="2077" t="str">
        <f t="shared" si="15"/>
        <v>建筑类型</v>
      </c>
      <c r="AA33" s="2068">
        <f t="shared" si="3"/>
        <v>1</v>
      </c>
      <c r="AB33" s="2068">
        <f t="shared" si="4"/>
        <v>1</v>
      </c>
      <c r="AC33" s="2068">
        <f t="shared" si="5"/>
        <v>1</v>
      </c>
    </row>
    <row r="34" spans="1:29" s="1770" customFormat="1" ht="15">
      <c r="A34" s="1763"/>
      <c r="B34" s="1695" t="s">
        <v>2276</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8"/>
      <c r="L34" s="2999"/>
      <c r="M34" s="2058"/>
      <c r="N34" s="2058"/>
      <c r="O34" s="2058"/>
      <c r="P34" s="3707"/>
      <c r="Q34" s="1765" t="str">
        <f t="shared" si="11"/>
        <v>项目建筑规模</v>
      </c>
      <c r="R34" s="1766" t="s">
        <v>25</v>
      </c>
      <c r="S34" s="1767" t="e">
        <f t="shared" si="12"/>
        <v>#N/A</v>
      </c>
      <c r="T34" s="1766" t="s">
        <v>25</v>
      </c>
      <c r="U34" s="1767" t="e">
        <f t="shared" si="13"/>
        <v>#N/A</v>
      </c>
      <c r="V34" s="1766" t="s">
        <v>25</v>
      </c>
      <c r="W34" s="1767" t="e">
        <f t="shared" si="14"/>
        <v>#N/A</v>
      </c>
      <c r="X34" s="1768"/>
      <c r="Y34" s="3707"/>
      <c r="Z34" s="1769" t="str">
        <f t="shared" si="15"/>
        <v>项目建筑规模</v>
      </c>
      <c r="AA34" s="2068" t="e">
        <f t="shared" si="3"/>
        <v>#N/A</v>
      </c>
      <c r="AB34" s="2068" t="e">
        <f t="shared" si="4"/>
        <v>#N/A</v>
      </c>
      <c r="AC34" s="2068" t="e">
        <f t="shared" si="5"/>
        <v>#N/A</v>
      </c>
    </row>
    <row r="35" spans="1:29" ht="15">
      <c r="A35" s="1771"/>
      <c r="B35" s="1695" t="s">
        <v>2277</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1"/>
      <c r="L35" s="3000"/>
      <c r="M35" s="2996"/>
      <c r="N35" s="2996"/>
      <c r="O35" s="2996"/>
      <c r="P35" s="3707"/>
      <c r="Q35" s="2914" t="str">
        <f t="shared" si="11"/>
        <v>建筑结构</v>
      </c>
      <c r="R35" s="1725" t="s">
        <v>25</v>
      </c>
      <c r="S35" s="1726">
        <f t="shared" si="12"/>
        <v>100</v>
      </c>
      <c r="T35" s="1725" t="s">
        <v>25</v>
      </c>
      <c r="U35" s="1726">
        <f t="shared" si="13"/>
        <v>100</v>
      </c>
      <c r="V35" s="1725" t="s">
        <v>25</v>
      </c>
      <c r="W35" s="1726">
        <f t="shared" si="14"/>
        <v>100</v>
      </c>
      <c r="X35" s="2073"/>
      <c r="Y35" s="3707"/>
      <c r="Z35" s="2077" t="str">
        <f t="shared" si="15"/>
        <v>建筑结构</v>
      </c>
      <c r="AA35" s="2068">
        <f t="shared" si="3"/>
        <v>1</v>
      </c>
      <c r="AB35" s="2068">
        <f t="shared" si="4"/>
        <v>1</v>
      </c>
      <c r="AC35" s="2068">
        <f t="shared" si="5"/>
        <v>1</v>
      </c>
    </row>
    <row r="36" spans="1:29" ht="15">
      <c r="A36" s="1771"/>
      <c r="B36" s="1695" t="s">
        <v>2362</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1"/>
      <c r="L36" s="3000"/>
      <c r="M36" s="2996"/>
      <c r="N36" s="2996"/>
      <c r="O36" s="2996"/>
      <c r="P36" s="3707"/>
      <c r="Q36" s="2914" t="str">
        <f t="shared" si="11"/>
        <v>公共部分装修</v>
      </c>
      <c r="R36" s="1725" t="s">
        <v>25</v>
      </c>
      <c r="S36" s="1726">
        <f t="shared" si="12"/>
        <v>100</v>
      </c>
      <c r="T36" s="1725" t="s">
        <v>25</v>
      </c>
      <c r="U36" s="1726">
        <f t="shared" si="13"/>
        <v>100</v>
      </c>
      <c r="V36" s="1725" t="s">
        <v>25</v>
      </c>
      <c r="W36" s="1726">
        <f t="shared" si="14"/>
        <v>100</v>
      </c>
      <c r="X36" s="2073"/>
      <c r="Y36" s="3707"/>
      <c r="Z36" s="2077" t="str">
        <f t="shared" si="15"/>
        <v>公共部分装修</v>
      </c>
      <c r="AA36" s="2068">
        <f t="shared" si="3"/>
        <v>1</v>
      </c>
      <c r="AB36" s="2068">
        <f t="shared" si="4"/>
        <v>1</v>
      </c>
      <c r="AC36" s="2068">
        <f t="shared" si="5"/>
        <v>1</v>
      </c>
    </row>
    <row r="37" spans="1:29" ht="15">
      <c r="A37" s="1771"/>
      <c r="B37" s="1695" t="s">
        <v>2363</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91"/>
      <c r="L37" s="3000"/>
      <c r="M37" s="2996"/>
      <c r="N37" s="2996"/>
      <c r="O37" s="2996"/>
      <c r="P37" s="3707"/>
      <c r="Q37" s="2914" t="str">
        <f t="shared" si="11"/>
        <v>成新度</v>
      </c>
      <c r="R37" s="1725" t="s">
        <v>25</v>
      </c>
      <c r="S37" s="1726" t="e">
        <f t="shared" si="12"/>
        <v>#N/A</v>
      </c>
      <c r="T37" s="1725" t="s">
        <v>25</v>
      </c>
      <c r="U37" s="1726" t="e">
        <f t="shared" si="13"/>
        <v>#N/A</v>
      </c>
      <c r="V37" s="1725" t="s">
        <v>25</v>
      </c>
      <c r="W37" s="1726" t="e">
        <f t="shared" si="14"/>
        <v>#N/A</v>
      </c>
      <c r="X37" s="2073"/>
      <c r="Y37" s="3707"/>
      <c r="Z37" s="2077" t="str">
        <f t="shared" si="15"/>
        <v>成新度</v>
      </c>
      <c r="AA37" s="2068" t="e">
        <f t="shared" si="3"/>
        <v>#N/A</v>
      </c>
      <c r="AB37" s="2068" t="e">
        <f t="shared" si="4"/>
        <v>#N/A</v>
      </c>
      <c r="AC37" s="2068" t="e">
        <f t="shared" si="5"/>
        <v>#N/A</v>
      </c>
    </row>
    <row r="38" spans="1:29" s="1685" customFormat="1" ht="15">
      <c r="A38" s="1774"/>
      <c r="B38" s="1695" t="s">
        <v>2390</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1"/>
      <c r="L38" s="2995"/>
      <c r="M38" s="2968"/>
      <c r="N38" s="2968"/>
      <c r="O38" s="2968"/>
      <c r="P38" s="3707"/>
      <c r="Q38" s="2913" t="str">
        <f t="shared" si="11"/>
        <v>写字楼等级</v>
      </c>
      <c r="R38" s="1681" t="s">
        <v>25</v>
      </c>
      <c r="S38" s="1682">
        <f t="shared" si="12"/>
        <v>100</v>
      </c>
      <c r="T38" s="1681" t="s">
        <v>25</v>
      </c>
      <c r="U38" s="1682">
        <f t="shared" si="13"/>
        <v>100</v>
      </c>
      <c r="V38" s="1681" t="s">
        <v>25</v>
      </c>
      <c r="W38" s="1682">
        <f t="shared" si="14"/>
        <v>100</v>
      </c>
      <c r="X38" s="1683"/>
      <c r="Y38" s="3707"/>
      <c r="Z38" s="1693" t="str">
        <f t="shared" si="15"/>
        <v>写字楼等级</v>
      </c>
      <c r="AA38" s="1684">
        <f t="shared" si="3"/>
        <v>1</v>
      </c>
      <c r="AB38" s="1684">
        <f t="shared" si="4"/>
        <v>1</v>
      </c>
      <c r="AC38" s="1684">
        <f t="shared" si="5"/>
        <v>1</v>
      </c>
    </row>
    <row r="39" spans="1:29" ht="15">
      <c r="A39" s="1771"/>
      <c r="B39" s="1695" t="s">
        <v>2391</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1"/>
      <c r="L39" s="3000"/>
      <c r="M39" s="2996"/>
      <c r="N39" s="2996"/>
      <c r="O39" s="2996"/>
      <c r="P39" s="3707" t="s">
        <v>2275</v>
      </c>
      <c r="Q39" s="2914" t="str">
        <f t="shared" si="11"/>
        <v>物业管理</v>
      </c>
      <c r="R39" s="1725" t="s">
        <v>25</v>
      </c>
      <c r="S39" s="1726">
        <f t="shared" si="12"/>
        <v>100</v>
      </c>
      <c r="T39" s="1725" t="s">
        <v>25</v>
      </c>
      <c r="U39" s="1726">
        <f t="shared" si="13"/>
        <v>100</v>
      </c>
      <c r="V39" s="1725" t="s">
        <v>25</v>
      </c>
      <c r="W39" s="1726">
        <f t="shared" si="14"/>
        <v>100</v>
      </c>
      <c r="X39" s="2073"/>
      <c r="Y39" s="3707" t="s">
        <v>2275</v>
      </c>
      <c r="Z39" s="2077" t="str">
        <f t="shared" si="15"/>
        <v>物业管理</v>
      </c>
      <c r="AA39" s="2068">
        <f t="shared" si="3"/>
        <v>1</v>
      </c>
      <c r="AB39" s="2068">
        <f t="shared" si="4"/>
        <v>1</v>
      </c>
      <c r="AC39" s="2068">
        <f t="shared" si="5"/>
        <v>1</v>
      </c>
    </row>
    <row r="40" spans="1:29" ht="15">
      <c r="A40" s="1771"/>
      <c r="B40" s="1695" t="s">
        <v>2364</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1"/>
      <c r="L40" s="3000"/>
      <c r="M40" s="2996"/>
      <c r="N40" s="2996"/>
      <c r="O40" s="2996"/>
      <c r="P40" s="3707"/>
      <c r="Q40" s="2914" t="str">
        <f t="shared" si="11"/>
        <v>市政基础设施</v>
      </c>
      <c r="R40" s="1725" t="s">
        <v>25</v>
      </c>
      <c r="S40" s="1726">
        <f t="shared" si="12"/>
        <v>100</v>
      </c>
      <c r="T40" s="1725" t="s">
        <v>25</v>
      </c>
      <c r="U40" s="1726">
        <f t="shared" si="13"/>
        <v>100</v>
      </c>
      <c r="V40" s="1725" t="s">
        <v>25</v>
      </c>
      <c r="W40" s="1726">
        <f t="shared" si="14"/>
        <v>100</v>
      </c>
      <c r="X40" s="2073"/>
      <c r="Y40" s="3707"/>
      <c r="Z40" s="2077" t="str">
        <f t="shared" si="15"/>
        <v>市政基础设施</v>
      </c>
      <c r="AA40" s="2068">
        <f t="shared" si="3"/>
        <v>1</v>
      </c>
      <c r="AB40" s="2068">
        <f t="shared" si="4"/>
        <v>1</v>
      </c>
      <c r="AC40" s="2068">
        <f t="shared" si="5"/>
        <v>1</v>
      </c>
    </row>
    <row r="41" spans="1:29" ht="15">
      <c r="A41" s="1771"/>
      <c r="B41" s="1695" t="s">
        <v>2366</v>
      </c>
      <c r="C41" s="1990"/>
      <c r="D41" s="1711">
        <v>100</v>
      </c>
      <c r="E41" s="1990"/>
      <c r="F41" s="1754">
        <f>SUMIF(119:119,E41,120:120)-SUMIF(119:119,C41,120:120)+100</f>
        <v>100</v>
      </c>
      <c r="G41" s="1990"/>
      <c r="H41" s="1711">
        <f>SUMIF(119:119,G41,120:120)-SUMIF(119:119,C41,120:120)+100</f>
        <v>100</v>
      </c>
      <c r="I41" s="1990"/>
      <c r="J41" s="1711">
        <f>SUMIF(119:119,I41,120:120)-SUMIF(119:119,C41,120:120)+100</f>
        <v>100</v>
      </c>
      <c r="K41" s="1991"/>
      <c r="L41" s="3000"/>
      <c r="M41" s="2996"/>
      <c r="N41" s="2996"/>
      <c r="O41" s="2996"/>
      <c r="P41" s="3707"/>
      <c r="Q41" s="2914" t="str">
        <f t="shared" si="11"/>
        <v>层高</v>
      </c>
      <c r="R41" s="1725" t="s">
        <v>25</v>
      </c>
      <c r="S41" s="1726">
        <f t="shared" si="12"/>
        <v>100</v>
      </c>
      <c r="T41" s="1725" t="s">
        <v>25</v>
      </c>
      <c r="U41" s="1726">
        <f t="shared" si="13"/>
        <v>100</v>
      </c>
      <c r="V41" s="1725" t="s">
        <v>25</v>
      </c>
      <c r="W41" s="1726">
        <f t="shared" si="14"/>
        <v>100</v>
      </c>
      <c r="X41" s="2073"/>
      <c r="Y41" s="3707"/>
      <c r="Z41" s="2077" t="str">
        <f t="shared" si="15"/>
        <v>层高</v>
      </c>
      <c r="AA41" s="2068">
        <f t="shared" si="3"/>
        <v>1</v>
      </c>
      <c r="AB41" s="2068">
        <f t="shared" si="4"/>
        <v>1</v>
      </c>
      <c r="AC41" s="2068">
        <f t="shared" si="5"/>
        <v>1</v>
      </c>
    </row>
    <row r="42" spans="1:29" s="1770" customFormat="1" ht="15">
      <c r="A42" s="1763"/>
      <c r="B42" s="2069" t="s">
        <v>2392</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8"/>
      <c r="L42" s="2999"/>
      <c r="M42" s="2058"/>
      <c r="N42" s="2058"/>
      <c r="O42" s="2058"/>
      <c r="P42" s="3707"/>
      <c r="Q42" s="1765" t="str">
        <f t="shared" si="11"/>
        <v>单套建筑面积</v>
      </c>
      <c r="R42" s="1766" t="s">
        <v>25</v>
      </c>
      <c r="S42" s="1767">
        <f t="shared" si="12"/>
        <v>100</v>
      </c>
      <c r="T42" s="1766" t="s">
        <v>25</v>
      </c>
      <c r="U42" s="1767">
        <f t="shared" si="13"/>
        <v>100</v>
      </c>
      <c r="V42" s="1766" t="s">
        <v>25</v>
      </c>
      <c r="W42" s="1767">
        <f t="shared" si="14"/>
        <v>100</v>
      </c>
      <c r="X42" s="1768"/>
      <c r="Y42" s="3707"/>
      <c r="Z42" s="1769" t="str">
        <f t="shared" si="15"/>
        <v>单套建筑面积</v>
      </c>
      <c r="AA42" s="2068">
        <f t="shared" si="3"/>
        <v>1</v>
      </c>
      <c r="AB42" s="2068">
        <f t="shared" si="4"/>
        <v>1</v>
      </c>
      <c r="AC42" s="2068">
        <f t="shared" si="5"/>
        <v>1</v>
      </c>
    </row>
    <row r="43" spans="1:29" ht="15">
      <c r="A43" s="1771"/>
      <c r="B43" s="1695" t="s">
        <v>2369</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1"/>
      <c r="L43" s="3000"/>
      <c r="M43" s="2996"/>
      <c r="N43" s="2996"/>
      <c r="O43" s="2996"/>
      <c r="P43" s="3707"/>
      <c r="Q43" s="2914" t="str">
        <f t="shared" si="11"/>
        <v>内部装修</v>
      </c>
      <c r="R43" s="1725" t="s">
        <v>25</v>
      </c>
      <c r="S43" s="1726">
        <f t="shared" si="12"/>
        <v>100</v>
      </c>
      <c r="T43" s="1725" t="s">
        <v>25</v>
      </c>
      <c r="U43" s="1726">
        <f t="shared" si="13"/>
        <v>100</v>
      </c>
      <c r="V43" s="1725" t="s">
        <v>25</v>
      </c>
      <c r="W43" s="1726">
        <f t="shared" si="14"/>
        <v>100</v>
      </c>
      <c r="X43" s="2073"/>
      <c r="Y43" s="3707"/>
      <c r="Z43" s="2077" t="str">
        <f t="shared" si="15"/>
        <v>内部装修</v>
      </c>
      <c r="AA43" s="2068">
        <f t="shared" si="3"/>
        <v>1</v>
      </c>
      <c r="AB43" s="2068">
        <f t="shared" si="4"/>
        <v>1</v>
      </c>
      <c r="AC43" s="2068">
        <f t="shared" si="5"/>
        <v>1</v>
      </c>
    </row>
    <row r="44" spans="1:29" ht="15">
      <c r="A44" s="1771"/>
      <c r="B44" s="1695" t="s">
        <v>2286</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1"/>
      <c r="L44" s="3000"/>
      <c r="M44" s="2996"/>
      <c r="N44" s="2996"/>
      <c r="O44" s="2996"/>
      <c r="P44" s="3707"/>
      <c r="Q44" s="2914" t="str">
        <f t="shared" si="11"/>
        <v>内部装修维护情况</v>
      </c>
      <c r="R44" s="1725" t="s">
        <v>25</v>
      </c>
      <c r="S44" s="1726">
        <f t="shared" si="12"/>
        <v>100</v>
      </c>
      <c r="T44" s="1725" t="s">
        <v>25</v>
      </c>
      <c r="U44" s="1726">
        <f t="shared" si="13"/>
        <v>100</v>
      </c>
      <c r="V44" s="1725" t="s">
        <v>25</v>
      </c>
      <c r="W44" s="1726">
        <f t="shared" si="14"/>
        <v>100</v>
      </c>
      <c r="X44" s="2073"/>
      <c r="Y44" s="3707"/>
      <c r="Z44" s="2077" t="str">
        <f t="shared" si="15"/>
        <v>内部装修维护情况</v>
      </c>
      <c r="AA44" s="2068">
        <f t="shared" si="3"/>
        <v>1</v>
      </c>
      <c r="AB44" s="2068">
        <f t="shared" si="4"/>
        <v>1</v>
      </c>
      <c r="AC44" s="2068">
        <f t="shared" si="5"/>
        <v>1</v>
      </c>
    </row>
    <row r="45" spans="1:29" s="1685"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8"/>
      <c r="L45" s="2995"/>
      <c r="M45" s="2968"/>
      <c r="N45" s="2968"/>
      <c r="O45" s="2968"/>
      <c r="P45" s="3707"/>
      <c r="Q45" s="2913">
        <f t="shared" si="11"/>
        <v>111</v>
      </c>
      <c r="R45" s="1681" t="s">
        <v>25</v>
      </c>
      <c r="S45" s="1682">
        <f t="shared" si="12"/>
        <v>100</v>
      </c>
      <c r="T45" s="1681" t="s">
        <v>25</v>
      </c>
      <c r="U45" s="1682">
        <f t="shared" si="13"/>
        <v>100</v>
      </c>
      <c r="V45" s="1681" t="s">
        <v>25</v>
      </c>
      <c r="W45" s="1682">
        <f t="shared" si="14"/>
        <v>100</v>
      </c>
      <c r="X45" s="1683"/>
      <c r="Y45" s="3707"/>
      <c r="Z45" s="1693">
        <f t="shared" si="15"/>
        <v>111</v>
      </c>
      <c r="AA45" s="1684">
        <f t="shared" si="3"/>
        <v>1</v>
      </c>
      <c r="AB45" s="1684">
        <f t="shared" si="4"/>
        <v>1</v>
      </c>
      <c r="AC45" s="1684">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8"/>
      <c r="L46" s="3000"/>
      <c r="M46" s="2996"/>
      <c r="N46" s="2996"/>
      <c r="O46" s="2996"/>
      <c r="P46" s="3707"/>
      <c r="Q46" s="2914">
        <f t="shared" si="11"/>
        <v>111</v>
      </c>
      <c r="R46" s="1725" t="s">
        <v>25</v>
      </c>
      <c r="S46" s="1726">
        <f t="shared" si="12"/>
        <v>100</v>
      </c>
      <c r="T46" s="1725" t="s">
        <v>25</v>
      </c>
      <c r="U46" s="1726">
        <f t="shared" si="13"/>
        <v>100</v>
      </c>
      <c r="V46" s="1725" t="s">
        <v>25</v>
      </c>
      <c r="W46" s="1726">
        <f t="shared" si="14"/>
        <v>100</v>
      </c>
      <c r="X46" s="2073"/>
      <c r="Y46" s="3707"/>
      <c r="Z46" s="2077">
        <f t="shared" si="15"/>
        <v>111</v>
      </c>
      <c r="AA46" s="2068">
        <f t="shared" si="3"/>
        <v>1</v>
      </c>
      <c r="AB46" s="2068">
        <f t="shared" si="4"/>
        <v>1</v>
      </c>
      <c r="AC46" s="2068">
        <f t="shared" si="5"/>
        <v>1</v>
      </c>
    </row>
    <row r="47" spans="1:29" ht="15.75" thickBot="1">
      <c r="A47" s="1779"/>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8"/>
      <c r="L47" s="3000"/>
      <c r="M47" s="2996"/>
      <c r="N47" s="2996"/>
      <c r="O47" s="2996"/>
      <c r="P47" s="3708"/>
      <c r="Q47" s="2914">
        <f t="shared" si="11"/>
        <v>111</v>
      </c>
      <c r="R47" s="1725" t="s">
        <v>25</v>
      </c>
      <c r="S47" s="1726">
        <f t="shared" si="12"/>
        <v>100</v>
      </c>
      <c r="T47" s="1725" t="s">
        <v>25</v>
      </c>
      <c r="U47" s="1726">
        <f t="shared" si="13"/>
        <v>100</v>
      </c>
      <c r="V47" s="1725" t="s">
        <v>25</v>
      </c>
      <c r="W47" s="1726">
        <f t="shared" si="14"/>
        <v>100</v>
      </c>
      <c r="X47" s="2073"/>
      <c r="Y47" s="3708"/>
      <c r="Z47" s="2077">
        <f t="shared" si="15"/>
        <v>111</v>
      </c>
      <c r="AA47" s="2068">
        <f t="shared" si="3"/>
        <v>1</v>
      </c>
      <c r="AB47" s="2068">
        <f t="shared" si="4"/>
        <v>1</v>
      </c>
      <c r="AC47" s="2068">
        <f t="shared" si="5"/>
        <v>1</v>
      </c>
    </row>
    <row r="48" spans="1:29" ht="15">
      <c r="A48" s="1780" t="s">
        <v>2287</v>
      </c>
      <c r="B48" s="1781"/>
      <c r="C48" s="1782" t="s">
        <v>1</v>
      </c>
      <c r="D48" s="1783"/>
      <c r="E48" s="1784"/>
      <c r="F48" s="1785"/>
      <c r="G48" s="1786"/>
      <c r="H48" s="1787"/>
      <c r="I48" s="1784"/>
      <c r="J48" s="1787"/>
      <c r="K48" s="2012"/>
      <c r="L48" s="3001"/>
      <c r="M48" s="2996"/>
      <c r="N48" s="2996"/>
      <c r="O48" s="2996"/>
      <c r="P48" s="3699" t="str">
        <f>A48</f>
        <v>成交单价（元/平方米）</v>
      </c>
      <c r="Q48" s="3699"/>
      <c r="R48" s="3695">
        <f>E48</f>
        <v>0</v>
      </c>
      <c r="S48" s="3695"/>
      <c r="T48" s="3695">
        <f>G48</f>
        <v>0</v>
      </c>
      <c r="U48" s="3695"/>
      <c r="V48" s="3695">
        <f>I48</f>
        <v>0</v>
      </c>
      <c r="W48" s="3695"/>
      <c r="X48" s="1790"/>
      <c r="Y48" s="2072"/>
      <c r="Z48" s="1790"/>
      <c r="AA48" s="1790"/>
      <c r="AB48" s="1790"/>
      <c r="AC48" s="1790"/>
    </row>
    <row r="49" spans="1:29" ht="15.75" thickBot="1">
      <c r="A49" s="1792" t="s">
        <v>2370</v>
      </c>
      <c r="B49" s="1793"/>
      <c r="C49" s="1794" t="e">
        <f>R50</f>
        <v>#DIV/0!</v>
      </c>
      <c r="D49" s="1795" t="s">
        <v>2744</v>
      </c>
      <c r="E49" s="1796" t="e">
        <f>R49</f>
        <v>#DIV/0!</v>
      </c>
      <c r="F49" s="1797"/>
      <c r="G49" s="1794" t="e">
        <f>T49</f>
        <v>#DIV/0!</v>
      </c>
      <c r="H49" s="1797"/>
      <c r="I49" s="1796" t="e">
        <f>V49</f>
        <v>#DIV/0!</v>
      </c>
      <c r="J49" s="1797"/>
      <c r="K49" s="2509">
        <f>F49+H49+J49</f>
        <v>0</v>
      </c>
      <c r="L49" s="3001"/>
      <c r="M49" s="2996"/>
      <c r="N49" s="2996"/>
      <c r="O49" s="2996"/>
      <c r="P49" s="3699" t="str">
        <f>A49</f>
        <v>比较价值（元/平方米）</v>
      </c>
      <c r="Q49" s="3699"/>
      <c r="R49" s="3695" t="e">
        <f>IF(E1="售价",ROUND(PRODUCT(R48,AA7:AA47),0),ROUND(PRODUCT(R48,AA7:AA47),1))</f>
        <v>#DIV/0!</v>
      </c>
      <c r="S49" s="3695"/>
      <c r="T49" s="3695" t="e">
        <f>IF(E1="售价",ROUND(PRODUCT(T48,AB7:AB47),0),ROUND(PRODUCT(T48,AB7:AB47),1))</f>
        <v>#DIV/0!</v>
      </c>
      <c r="U49" s="3695"/>
      <c r="V49" s="3695" t="e">
        <f>IF(E1="售价",ROUND(PRODUCT(V48,AC7:AC47),0),ROUND(PRODUCT(V48,AC7:AC47),1))</f>
        <v>#DIV/0!</v>
      </c>
      <c r="W49" s="3695"/>
      <c r="X49" s="1790"/>
      <c r="Y49" s="1790"/>
      <c r="Z49" s="1790"/>
      <c r="AA49" s="1790"/>
      <c r="AB49" s="1790"/>
      <c r="AC49" s="1790"/>
    </row>
    <row r="50" spans="1:29" ht="15.75" thickBot="1">
      <c r="A50" s="1798" t="s">
        <v>2393</v>
      </c>
      <c r="B50" s="1799"/>
      <c r="C50" s="1801" t="e">
        <f>R50</f>
        <v>#DIV/0!</v>
      </c>
      <c r="D50" s="1801"/>
      <c r="E50" s="1801"/>
      <c r="F50" s="1801"/>
      <c r="G50" s="1801"/>
      <c r="H50" s="1801"/>
      <c r="I50" s="1801"/>
      <c r="J50" s="1801"/>
      <c r="K50" s="2017"/>
      <c r="L50" s="3001"/>
      <c r="M50" s="2996"/>
      <c r="N50" s="2996"/>
      <c r="O50" s="2996"/>
      <c r="P50" s="3696" t="str">
        <f>A50</f>
        <v>估价对象XX用房的比较价值（楼面单价，元/平方米）</v>
      </c>
      <c r="Q50" s="3697"/>
      <c r="R50" s="3698" t="e">
        <f>IF(E1="售价",ROUND(IF(D49="简单平均",AVERAGE(R49:V49),R49*F49+T49*H49+V49*J49),0),ROUND(IF(D49="简单平均",AVERAGE(R49:V49),R49*F49+T49*H49+V49*J49),1))</f>
        <v>#DIV/0!</v>
      </c>
      <c r="S50" s="3698"/>
      <c r="T50" s="3698"/>
      <c r="U50" s="3698"/>
      <c r="V50" s="3698"/>
      <c r="W50" s="3698"/>
      <c r="X50" s="1790"/>
      <c r="Y50" s="1790"/>
      <c r="Z50" s="1790"/>
      <c r="AA50" s="1790"/>
      <c r="AB50" s="1790"/>
      <c r="AC50" s="1790"/>
    </row>
    <row r="51" spans="1:29">
      <c r="G51" s="3005"/>
    </row>
    <row r="53" spans="1:29" ht="13.5" customHeight="1">
      <c r="C53" s="383" t="s">
        <v>2372</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2373</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2374</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08"/>
      <c r="L55" s="3002"/>
    </row>
    <row r="56" spans="1:29" s="1812" customFormat="1">
      <c r="B56" s="3006"/>
      <c r="C56" s="3007"/>
      <c r="K56" s="3008"/>
      <c r="L56" s="3002"/>
    </row>
    <row r="57" spans="1:29">
      <c r="B57" s="3006"/>
      <c r="C57" s="3007"/>
    </row>
    <row r="58" spans="1:29" ht="21.75" thickBot="1">
      <c r="A58" s="1815" t="s">
        <v>2375</v>
      </c>
      <c r="B58" s="1790"/>
      <c r="C58" s="1816"/>
      <c r="D58" s="1816"/>
      <c r="E58" s="1816"/>
      <c r="F58" s="1816"/>
      <c r="G58" s="1816"/>
      <c r="H58" s="1816"/>
      <c r="I58" s="1816"/>
      <c r="J58" s="1816"/>
      <c r="K58" s="1817"/>
      <c r="L58" s="1818"/>
      <c r="M58" s="1816"/>
      <c r="N58" s="3004"/>
      <c r="O58" s="3004"/>
      <c r="P58" s="2044"/>
      <c r="Q58" s="1820"/>
    </row>
    <row r="59" spans="1:29" s="1826" customFormat="1" ht="15">
      <c r="A59" s="1821" t="s">
        <v>2258</v>
      </c>
      <c r="B59" s="1822"/>
      <c r="C59" s="1823" t="str">
        <f>YEAR(C7)&amp;"-"&amp;MONTH(C7)</f>
        <v>2009-7</v>
      </c>
      <c r="D59" s="1824">
        <f>EDATE(C59,-1)</f>
        <v>39965</v>
      </c>
      <c r="E59" s="1824">
        <f t="shared" ref="E59:O59" si="16">EDATE(D59,-1)</f>
        <v>39934</v>
      </c>
      <c r="F59" s="1824">
        <f t="shared" si="16"/>
        <v>39904</v>
      </c>
      <c r="G59" s="1824">
        <f t="shared" si="16"/>
        <v>39873</v>
      </c>
      <c r="H59" s="1824">
        <f t="shared" si="16"/>
        <v>39845</v>
      </c>
      <c r="I59" s="1824">
        <f t="shared" si="16"/>
        <v>39814</v>
      </c>
      <c r="J59" s="1824">
        <f t="shared" si="16"/>
        <v>39783</v>
      </c>
      <c r="K59" s="1824">
        <f t="shared" si="16"/>
        <v>39753</v>
      </c>
      <c r="L59" s="1824">
        <f t="shared" si="16"/>
        <v>39722</v>
      </c>
      <c r="M59" s="1824">
        <f t="shared" si="16"/>
        <v>39692</v>
      </c>
      <c r="N59" s="1824">
        <f t="shared" si="16"/>
        <v>39661</v>
      </c>
      <c r="O59" s="1824">
        <f t="shared" si="16"/>
        <v>39630</v>
      </c>
      <c r="P59" s="2502"/>
    </row>
    <row r="60" spans="1:29" s="1685" customFormat="1" ht="15">
      <c r="A60" s="1827"/>
      <c r="B60" s="1828"/>
      <c r="C60" s="1829">
        <v>100</v>
      </c>
      <c r="D60" s="1830"/>
      <c r="E60" s="1830"/>
      <c r="F60" s="1830"/>
      <c r="G60" s="1830"/>
      <c r="H60" s="1830"/>
      <c r="I60" s="1830"/>
      <c r="J60" s="1830"/>
      <c r="K60" s="1830"/>
      <c r="L60" s="1830"/>
      <c r="M60" s="1831"/>
      <c r="N60" s="1830"/>
      <c r="O60" s="1844"/>
      <c r="P60" s="1820"/>
    </row>
    <row r="61" spans="1:29" s="1685" customFormat="1" ht="15.75" thickBot="1">
      <c r="A61" s="1833" t="s">
        <v>2295</v>
      </c>
      <c r="B61" s="1834"/>
      <c r="C61" s="1835"/>
      <c r="D61" s="1836"/>
      <c r="E61" s="1836"/>
      <c r="F61" s="1836"/>
      <c r="G61" s="1836"/>
      <c r="H61" s="1836"/>
      <c r="I61" s="1836"/>
      <c r="J61" s="1836"/>
      <c r="K61" s="1836"/>
      <c r="L61" s="1836"/>
      <c r="M61" s="1837"/>
      <c r="N61" s="1836"/>
      <c r="O61" s="2503"/>
      <c r="P61" s="1820"/>
      <c r="Q61" s="1820"/>
    </row>
    <row r="62" spans="1:29" s="1685" customFormat="1" ht="15">
      <c r="A62" s="1838" t="s">
        <v>2260</v>
      </c>
      <c r="B62" s="1828"/>
      <c r="C62" s="1839" t="s">
        <v>2261</v>
      </c>
      <c r="D62" s="409"/>
      <c r="E62" s="409"/>
      <c r="F62" s="409"/>
      <c r="G62" s="409"/>
      <c r="H62" s="409"/>
      <c r="I62" s="409"/>
      <c r="J62" s="409"/>
      <c r="K62" s="409"/>
      <c r="L62" s="409"/>
      <c r="M62" s="1840"/>
      <c r="N62" s="3013"/>
      <c r="O62" s="3013"/>
      <c r="P62" s="2055"/>
      <c r="Q62" s="1820"/>
    </row>
    <row r="63" spans="1:29" s="1685" customFormat="1" ht="15.75" thickBot="1">
      <c r="A63" s="1838"/>
      <c r="B63" s="1828"/>
      <c r="C63" s="1843">
        <v>100</v>
      </c>
      <c r="D63" s="1830"/>
      <c r="E63" s="1830"/>
      <c r="F63" s="1830"/>
      <c r="G63" s="1830"/>
      <c r="H63" s="1830"/>
      <c r="I63" s="1830"/>
      <c r="J63" s="1830"/>
      <c r="K63" s="1830"/>
      <c r="L63" s="1830"/>
      <c r="M63" s="1844"/>
      <c r="N63" s="3013"/>
      <c r="O63" s="3013"/>
      <c r="P63" s="1820"/>
      <c r="Q63" s="1820"/>
    </row>
    <row r="64" spans="1:29">
      <c r="A64" s="1845" t="s">
        <v>2298</v>
      </c>
      <c r="B64" s="1846" t="s">
        <v>2264</v>
      </c>
      <c r="C64" s="1847">
        <f>C9</f>
        <v>0</v>
      </c>
      <c r="D64" s="1848"/>
      <c r="E64" s="1848"/>
      <c r="F64" s="1848"/>
      <c r="G64" s="1848"/>
      <c r="H64" s="1848"/>
      <c r="I64" s="1848"/>
      <c r="J64" s="1848"/>
      <c r="K64" s="417"/>
      <c r="L64" s="417"/>
      <c r="M64" s="1849"/>
      <c r="N64" s="3014"/>
      <c r="O64" s="3014"/>
      <c r="P64" s="2056"/>
      <c r="Q64" s="1820"/>
    </row>
    <row r="65" spans="1:17" ht="15.75" thickBot="1">
      <c r="A65" s="1852"/>
      <c r="B65" s="1853"/>
      <c r="C65" s="1854">
        <v>100</v>
      </c>
      <c r="D65" s="1854"/>
      <c r="E65" s="1854"/>
      <c r="F65" s="1854"/>
      <c r="G65" s="1854"/>
      <c r="H65" s="1854"/>
      <c r="I65" s="1854"/>
      <c r="J65" s="1854"/>
      <c r="K65" s="1854"/>
      <c r="L65" s="1854"/>
      <c r="M65" s="1855"/>
      <c r="N65" s="3015"/>
      <c r="O65" s="3015"/>
      <c r="P65" s="2056"/>
      <c r="Q65" s="1820"/>
    </row>
    <row r="66" spans="1:17" ht="27.75" thickTop="1">
      <c r="A66" s="1852"/>
      <c r="B66" s="1857" t="s">
        <v>2267</v>
      </c>
      <c r="C66" s="1858" t="s">
        <v>2299</v>
      </c>
      <c r="D66" s="1858" t="s">
        <v>2300</v>
      </c>
      <c r="E66" s="1858" t="s">
        <v>2301</v>
      </c>
      <c r="F66" s="1858" t="s">
        <v>2302</v>
      </c>
      <c r="G66" s="1858" t="s">
        <v>2303</v>
      </c>
      <c r="H66" s="1858" t="s">
        <v>2304</v>
      </c>
      <c r="I66" s="1858" t="s">
        <v>2305</v>
      </c>
      <c r="J66" s="1858"/>
      <c r="K66" s="428"/>
      <c r="L66" s="428"/>
      <c r="M66" s="1859"/>
      <c r="N66" s="3014"/>
      <c r="O66" s="3014"/>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5"/>
      <c r="O67" s="3015"/>
      <c r="P67" s="2056"/>
      <c r="Q67" s="1820"/>
    </row>
    <row r="68" spans="1:17" ht="15.75" thickTop="1">
      <c r="A68" s="1852"/>
      <c r="B68" s="1863" t="s">
        <v>2268</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1" t="str">
        <f>M69&amp;"（含）"&amp;"-"&amp;P69</f>
        <v>（含）-</v>
      </c>
      <c r="N68" s="3015"/>
      <c r="O68" s="3015"/>
      <c r="P68" s="2056"/>
      <c r="Q68" s="1820"/>
    </row>
    <row r="69" spans="1:17" ht="15">
      <c r="A69" s="1852"/>
      <c r="B69" s="1865"/>
      <c r="C69" s="1866"/>
      <c r="D69" s="1866"/>
      <c r="E69" s="1866"/>
      <c r="F69" s="1866"/>
      <c r="G69" s="1866"/>
      <c r="H69" s="1866"/>
      <c r="I69" s="1866"/>
      <c r="J69" s="1866"/>
      <c r="K69" s="438"/>
      <c r="L69" s="438"/>
      <c r="M69" s="1867"/>
      <c r="N69" s="3014"/>
      <c r="O69" s="3014"/>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5"/>
      <c r="O70" s="3015"/>
      <c r="P70" s="2056"/>
      <c r="Q70" s="1820"/>
    </row>
    <row r="71" spans="1:17" s="1770" customFormat="1" ht="15.75" thickTop="1">
      <c r="A71" s="1868"/>
      <c r="B71" s="1857">
        <f>B12</f>
        <v>111</v>
      </c>
      <c r="C71" s="468"/>
      <c r="D71" s="468"/>
      <c r="E71" s="468"/>
      <c r="F71" s="468"/>
      <c r="G71" s="468"/>
      <c r="H71" s="443"/>
      <c r="I71" s="443"/>
      <c r="J71" s="443"/>
      <c r="K71" s="443"/>
      <c r="L71" s="443"/>
      <c r="M71" s="1869"/>
      <c r="N71" s="3016"/>
      <c r="O71" s="3016"/>
      <c r="P71" s="2057"/>
      <c r="Q71" s="1872"/>
    </row>
    <row r="72" spans="1:17" s="1770" customFormat="1" ht="15.75" thickBot="1">
      <c r="A72" s="1868"/>
      <c r="B72" s="1860"/>
      <c r="C72" s="1873"/>
      <c r="D72" s="1854"/>
      <c r="E72" s="1854"/>
      <c r="F72" s="1854"/>
      <c r="G72" s="1854"/>
      <c r="H72" s="1854"/>
      <c r="I72" s="1854"/>
      <c r="J72" s="1854"/>
      <c r="K72" s="1854"/>
      <c r="L72" s="1854"/>
      <c r="M72" s="1855"/>
      <c r="N72" s="3015"/>
      <c r="O72" s="3015"/>
      <c r="P72" s="2057"/>
      <c r="Q72" s="1872"/>
    </row>
    <row r="73" spans="1:17" s="1770" customFormat="1" ht="15.75" thickTop="1">
      <c r="A73" s="1868"/>
      <c r="B73" s="1857">
        <f>B13</f>
        <v>111</v>
      </c>
      <c r="C73" s="468"/>
      <c r="D73" s="468"/>
      <c r="E73" s="468"/>
      <c r="F73" s="468"/>
      <c r="G73" s="468"/>
      <c r="H73" s="443"/>
      <c r="I73" s="443"/>
      <c r="J73" s="443"/>
      <c r="K73" s="443"/>
      <c r="L73" s="443"/>
      <c r="M73" s="1869"/>
      <c r="N73" s="3016"/>
      <c r="O73" s="3016"/>
      <c r="P73" s="2058"/>
      <c r="Q73" s="1875"/>
    </row>
    <row r="74" spans="1:17" s="1770" customFormat="1" ht="15.75" thickBot="1">
      <c r="A74" s="1868"/>
      <c r="B74" s="1860"/>
      <c r="C74" s="1873"/>
      <c r="D74" s="1873"/>
      <c r="E74" s="1873"/>
      <c r="F74" s="1873"/>
      <c r="G74" s="1873"/>
      <c r="H74" s="1876"/>
      <c r="I74" s="1876"/>
      <c r="J74" s="1876"/>
      <c r="K74" s="1876"/>
      <c r="L74" s="1876"/>
      <c r="M74" s="1877"/>
      <c r="N74" s="3016"/>
      <c r="O74" s="3016"/>
      <c r="P74" s="2057"/>
      <c r="Q74" s="1872"/>
    </row>
    <row r="75" spans="1:17" s="1770" customFormat="1" ht="15.75" thickTop="1">
      <c r="A75" s="1868"/>
      <c r="B75" s="1863">
        <f>B14</f>
        <v>111</v>
      </c>
      <c r="C75" s="409"/>
      <c r="D75" s="409"/>
      <c r="E75" s="409"/>
      <c r="F75" s="409"/>
      <c r="G75" s="409"/>
      <c r="H75" s="453"/>
      <c r="I75" s="453"/>
      <c r="J75" s="453"/>
      <c r="K75" s="453"/>
      <c r="L75" s="453"/>
      <c r="M75" s="1878"/>
      <c r="N75" s="3016"/>
      <c r="O75" s="3016"/>
      <c r="P75" s="2057"/>
      <c r="Q75" s="1872"/>
    </row>
    <row r="76" spans="1:17" s="1770" customFormat="1" ht="15.75" thickBot="1">
      <c r="A76" s="1879"/>
      <c r="B76" s="1880"/>
      <c r="C76" s="1881"/>
      <c r="D76" s="1881"/>
      <c r="E76" s="1881"/>
      <c r="F76" s="1881"/>
      <c r="G76" s="1881"/>
      <c r="H76" s="1882"/>
      <c r="I76" s="1882"/>
      <c r="J76" s="1882"/>
      <c r="K76" s="1882"/>
      <c r="L76" s="1882"/>
      <c r="M76" s="1883"/>
      <c r="N76" s="3016"/>
      <c r="O76" s="3016"/>
      <c r="P76" s="2057"/>
      <c r="Q76" s="1872"/>
    </row>
    <row r="77" spans="1:17">
      <c r="A77" s="1845" t="s">
        <v>2269</v>
      </c>
      <c r="B77" s="1846" t="s">
        <v>2394</v>
      </c>
      <c r="C77" s="1884" t="s">
        <v>2307</v>
      </c>
      <c r="D77" s="1884" t="s">
        <v>2308</v>
      </c>
      <c r="E77" s="1884" t="s">
        <v>2309</v>
      </c>
      <c r="F77" s="1884" t="s">
        <v>2310</v>
      </c>
      <c r="G77" s="1884" t="s">
        <v>2311</v>
      </c>
      <c r="H77" s="1847"/>
      <c r="I77" s="1847"/>
      <c r="J77" s="1847"/>
      <c r="K77" s="463"/>
      <c r="L77" s="463"/>
      <c r="M77" s="1885"/>
      <c r="N77" s="3014"/>
      <c r="O77" s="3014"/>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5"/>
      <c r="O78" s="3015"/>
      <c r="P78" s="2056"/>
      <c r="Q78" s="1820"/>
    </row>
    <row r="79" spans="1:17" ht="15.75" thickTop="1">
      <c r="A79" s="1852"/>
      <c r="B79" s="1857" t="s">
        <v>2312</v>
      </c>
      <c r="C79" s="579" t="s">
        <v>2307</v>
      </c>
      <c r="D79" s="579" t="s">
        <v>2308</v>
      </c>
      <c r="E79" s="579" t="s">
        <v>2309</v>
      </c>
      <c r="F79" s="579" t="s">
        <v>2310</v>
      </c>
      <c r="G79" s="579" t="s">
        <v>2311</v>
      </c>
      <c r="H79" s="1858"/>
      <c r="I79" s="1858"/>
      <c r="J79" s="1858"/>
      <c r="K79" s="428"/>
      <c r="L79" s="428"/>
      <c r="M79" s="1859"/>
      <c r="N79" s="3014"/>
      <c r="O79" s="3014"/>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5"/>
      <c r="O80" s="3015"/>
      <c r="P80" s="2056"/>
      <c r="Q80" s="1820"/>
    </row>
    <row r="81" spans="1:17" ht="15.75" thickTop="1">
      <c r="A81" s="1852"/>
      <c r="B81" s="1857" t="s">
        <v>2313</v>
      </c>
      <c r="C81" s="579" t="s">
        <v>2307</v>
      </c>
      <c r="D81" s="579" t="s">
        <v>2308</v>
      </c>
      <c r="E81" s="579" t="s">
        <v>2309</v>
      </c>
      <c r="F81" s="579" t="s">
        <v>2310</v>
      </c>
      <c r="G81" s="579" t="s">
        <v>2311</v>
      </c>
      <c r="H81" s="1858"/>
      <c r="I81" s="1858"/>
      <c r="J81" s="1858"/>
      <c r="K81" s="428"/>
      <c r="L81" s="428"/>
      <c r="M81" s="1859"/>
      <c r="N81" s="3014"/>
      <c r="O81" s="3014"/>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5"/>
      <c r="O82" s="3015"/>
      <c r="P82" s="2056"/>
      <c r="Q82" s="1820"/>
    </row>
    <row r="83" spans="1:17" ht="15.75" thickTop="1">
      <c r="A83" s="1852"/>
      <c r="B83" s="1863" t="s">
        <v>2356</v>
      </c>
      <c r="C83" s="1858" t="s">
        <v>2314</v>
      </c>
      <c r="D83" s="1858" t="s">
        <v>2315</v>
      </c>
      <c r="E83" s="1858" t="s">
        <v>2316</v>
      </c>
      <c r="F83" s="1858" t="s">
        <v>2317</v>
      </c>
      <c r="G83" s="1858" t="s">
        <v>2318</v>
      </c>
      <c r="H83" s="1858"/>
      <c r="I83" s="1858"/>
      <c r="J83" s="1858"/>
      <c r="K83" s="1858"/>
      <c r="L83" s="1858"/>
      <c r="M83" s="1886"/>
      <c r="N83" s="3015"/>
      <c r="O83" s="3015"/>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5"/>
      <c r="N84" s="3015"/>
      <c r="O84" s="3015"/>
      <c r="P84" s="2056"/>
      <c r="Q84" s="1820"/>
    </row>
    <row r="85" spans="1:17" ht="15.75" thickTop="1">
      <c r="A85" s="1852"/>
      <c r="B85" s="1857" t="s">
        <v>2395</v>
      </c>
      <c r="C85" s="579" t="s">
        <v>2307</v>
      </c>
      <c r="D85" s="579" t="s">
        <v>2308</v>
      </c>
      <c r="E85" s="579" t="s">
        <v>2309</v>
      </c>
      <c r="F85" s="579" t="s">
        <v>2310</v>
      </c>
      <c r="G85" s="579" t="s">
        <v>2311</v>
      </c>
      <c r="H85" s="1858"/>
      <c r="I85" s="1858"/>
      <c r="J85" s="1858"/>
      <c r="K85" s="428"/>
      <c r="L85" s="428"/>
      <c r="M85" s="1859"/>
      <c r="N85" s="3014"/>
      <c r="O85" s="3014"/>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5"/>
      <c r="O86" s="3015"/>
      <c r="P86" s="2056"/>
      <c r="Q86" s="1820"/>
    </row>
    <row r="87" spans="1:17" s="1685" customFormat="1" ht="27.75" thickTop="1">
      <c r="A87" s="1888"/>
      <c r="B87" s="1857" t="s">
        <v>2396</v>
      </c>
      <c r="C87" s="468"/>
      <c r="D87" s="468"/>
      <c r="E87" s="468"/>
      <c r="F87" s="468"/>
      <c r="G87" s="468"/>
      <c r="H87" s="468"/>
      <c r="I87" s="468"/>
      <c r="J87" s="468"/>
      <c r="K87" s="468"/>
      <c r="L87" s="468"/>
      <c r="M87" s="1889"/>
      <c r="N87" s="3013"/>
      <c r="O87" s="3013"/>
      <c r="P87" s="2056"/>
      <c r="Q87" s="1820"/>
    </row>
    <row r="88" spans="1:17" s="1685"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5"/>
      <c r="O88" s="3015"/>
      <c r="P88" s="2056"/>
      <c r="Q88" s="1820"/>
    </row>
    <row r="89" spans="1:17" s="1685" customFormat="1" ht="15.75" thickTop="1">
      <c r="A89" s="1888"/>
      <c r="B89" s="1857" t="str">
        <f>B27</f>
        <v>楼层</v>
      </c>
      <c r="C89" s="468"/>
      <c r="D89" s="468"/>
      <c r="E89" s="468"/>
      <c r="F89" s="1891"/>
      <c r="G89" s="468"/>
      <c r="H89" s="468"/>
      <c r="I89" s="468"/>
      <c r="J89" s="468"/>
      <c r="K89" s="468"/>
      <c r="L89" s="468"/>
      <c r="M89" s="1889"/>
      <c r="N89" s="3013"/>
      <c r="O89" s="3013"/>
      <c r="P89" s="2056"/>
      <c r="Q89" s="1820"/>
    </row>
    <row r="90" spans="1:17" s="1685"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5"/>
      <c r="O90" s="3015"/>
      <c r="P90" s="2056"/>
      <c r="Q90" s="1820"/>
    </row>
    <row r="91" spans="1:17" s="1770" customFormat="1" ht="15.75" thickTop="1">
      <c r="A91" s="1868"/>
      <c r="B91" s="1857" t="str">
        <f>B28</f>
        <v>朝向</v>
      </c>
      <c r="C91" s="468"/>
      <c r="D91" s="468"/>
      <c r="E91" s="468"/>
      <c r="F91" s="468"/>
      <c r="G91" s="468"/>
      <c r="H91" s="443"/>
      <c r="I91" s="443"/>
      <c r="J91" s="443"/>
      <c r="K91" s="443"/>
      <c r="L91" s="443"/>
      <c r="M91" s="1869"/>
      <c r="N91" s="3016"/>
      <c r="O91" s="3016"/>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6"/>
      <c r="O92" s="3016"/>
      <c r="P92" s="2057"/>
      <c r="Q92" s="1872"/>
    </row>
    <row r="93" spans="1:17" ht="15.75" thickTop="1">
      <c r="A93" s="1852"/>
      <c r="B93" s="1857">
        <f>B29</f>
        <v>111</v>
      </c>
      <c r="C93" s="468"/>
      <c r="D93" s="468"/>
      <c r="E93" s="468"/>
      <c r="F93" s="468"/>
      <c r="G93" s="468"/>
      <c r="H93" s="468"/>
      <c r="I93" s="468"/>
      <c r="J93" s="468"/>
      <c r="K93" s="468"/>
      <c r="L93" s="468"/>
      <c r="M93" s="1889"/>
      <c r="N93" s="3014"/>
      <c r="O93" s="3014"/>
      <c r="P93" s="2056"/>
      <c r="Q93" s="1820"/>
    </row>
    <row r="94" spans="1:17" ht="15.75" thickBot="1">
      <c r="A94" s="1852"/>
      <c r="B94" s="1860"/>
      <c r="C94" s="1873"/>
      <c r="D94" s="1854"/>
      <c r="E94" s="1854"/>
      <c r="F94" s="1854"/>
      <c r="G94" s="1854"/>
      <c r="H94" s="1854"/>
      <c r="I94" s="1854"/>
      <c r="J94" s="1854"/>
      <c r="K94" s="1854"/>
      <c r="L94" s="1854"/>
      <c r="M94" s="1855"/>
      <c r="N94" s="3015"/>
      <c r="O94" s="3015"/>
      <c r="P94" s="2056"/>
      <c r="Q94" s="1820"/>
    </row>
    <row r="95" spans="1:17" ht="15.75" thickTop="1">
      <c r="A95" s="1852"/>
      <c r="B95" s="1857">
        <f>B30</f>
        <v>111</v>
      </c>
      <c r="C95" s="468"/>
      <c r="D95" s="468"/>
      <c r="E95" s="468"/>
      <c r="F95" s="468"/>
      <c r="G95" s="1578"/>
      <c r="H95" s="1578"/>
      <c r="I95" s="1578"/>
      <c r="J95" s="1578"/>
      <c r="K95" s="473"/>
      <c r="L95" s="473"/>
      <c r="M95" s="1892"/>
      <c r="N95" s="3014"/>
      <c r="O95" s="3014"/>
      <c r="P95" s="2056"/>
      <c r="Q95" s="1820"/>
    </row>
    <row r="96" spans="1:17" ht="15.75" thickBot="1">
      <c r="A96" s="1852"/>
      <c r="B96" s="1860"/>
      <c r="C96" s="1873"/>
      <c r="D96" s="1873"/>
      <c r="E96" s="1873"/>
      <c r="F96" s="1873"/>
      <c r="G96" s="1854"/>
      <c r="H96" s="1854"/>
      <c r="I96" s="1854"/>
      <c r="J96" s="1854"/>
      <c r="K96" s="1854"/>
      <c r="L96" s="1854"/>
      <c r="M96" s="1855"/>
      <c r="N96" s="3015"/>
      <c r="O96" s="3015"/>
      <c r="P96" s="2056"/>
      <c r="Q96" s="1820"/>
    </row>
    <row r="97" spans="1:17" ht="15.75" thickTop="1">
      <c r="A97" s="1852"/>
      <c r="B97" s="1857">
        <f>B31</f>
        <v>111</v>
      </c>
      <c r="C97" s="468"/>
      <c r="D97" s="468"/>
      <c r="E97" s="468"/>
      <c r="F97" s="468"/>
      <c r="G97" s="1578"/>
      <c r="H97" s="1578"/>
      <c r="I97" s="1578"/>
      <c r="J97" s="1578"/>
      <c r="K97" s="473"/>
      <c r="L97" s="473"/>
      <c r="M97" s="1892"/>
      <c r="N97" s="3014"/>
      <c r="O97" s="3014"/>
      <c r="P97" s="2056"/>
      <c r="Q97" s="1820"/>
    </row>
    <row r="98" spans="1:17" ht="15.75" thickBot="1">
      <c r="A98" s="1852"/>
      <c r="B98" s="1860"/>
      <c r="C98" s="1873"/>
      <c r="D98" s="1854"/>
      <c r="E98" s="1854"/>
      <c r="F98" s="1854"/>
      <c r="G98" s="1854"/>
      <c r="H98" s="1854"/>
      <c r="I98" s="1854"/>
      <c r="J98" s="1854"/>
      <c r="K98" s="1854"/>
      <c r="L98" s="1854"/>
      <c r="M98" s="1855"/>
      <c r="N98" s="3015"/>
      <c r="O98" s="3015"/>
      <c r="P98" s="2056"/>
      <c r="Q98" s="1820"/>
    </row>
    <row r="99" spans="1:17" ht="15.75" thickTop="1">
      <c r="A99" s="1852"/>
      <c r="B99" s="1863">
        <f>B32</f>
        <v>111</v>
      </c>
      <c r="C99" s="409"/>
      <c r="D99" s="409"/>
      <c r="E99" s="409"/>
      <c r="F99" s="409"/>
      <c r="G99" s="1893"/>
      <c r="H99" s="1893"/>
      <c r="I99" s="1893"/>
      <c r="J99" s="1893"/>
      <c r="K99" s="477"/>
      <c r="L99" s="477"/>
      <c r="M99" s="1894"/>
      <c r="N99" s="3014"/>
      <c r="O99" s="3014"/>
      <c r="P99" s="2056"/>
      <c r="Q99" s="1820"/>
    </row>
    <row r="100" spans="1:17" ht="15.75" thickBot="1">
      <c r="A100" s="1895"/>
      <c r="B100" s="1880"/>
      <c r="C100" s="1881"/>
      <c r="D100" s="1881"/>
      <c r="E100" s="1881"/>
      <c r="F100" s="1881"/>
      <c r="G100" s="1896"/>
      <c r="H100" s="1896"/>
      <c r="I100" s="1896"/>
      <c r="J100" s="1896"/>
      <c r="K100" s="1896"/>
      <c r="L100" s="1896"/>
      <c r="M100" s="1897"/>
      <c r="N100" s="3015"/>
      <c r="O100" s="3015"/>
      <c r="P100" s="2056"/>
      <c r="Q100" s="1820"/>
    </row>
    <row r="101" spans="1:17">
      <c r="A101" s="1845" t="s">
        <v>2273</v>
      </c>
      <c r="B101" s="1846" t="s">
        <v>2322</v>
      </c>
      <c r="C101" s="1848"/>
      <c r="D101" s="1848"/>
      <c r="E101" s="1848"/>
      <c r="F101" s="1848"/>
      <c r="G101" s="1848"/>
      <c r="H101" s="1848"/>
      <c r="I101" s="1848"/>
      <c r="J101" s="1848"/>
      <c r="K101" s="417"/>
      <c r="L101" s="417"/>
      <c r="M101" s="1849"/>
      <c r="N101" s="3014"/>
      <c r="O101" s="3014"/>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5"/>
      <c r="O102" s="3015"/>
      <c r="P102" s="2056"/>
      <c r="Q102" s="1820"/>
    </row>
    <row r="103" spans="1:17" ht="15.75" thickTop="1">
      <c r="A103" s="1852"/>
      <c r="B103" s="1857"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3"/>
      <c r="O103" s="3013"/>
      <c r="P103" s="2056"/>
      <c r="Q103" s="1820"/>
    </row>
    <row r="104" spans="1:17" s="1770" customFormat="1">
      <c r="A104" s="1898"/>
      <c r="B104" s="1899"/>
      <c r="C104" s="1900"/>
      <c r="D104" s="1900"/>
      <c r="E104" s="1900"/>
      <c r="F104" s="1900"/>
      <c r="G104" s="1900"/>
      <c r="H104" s="1900"/>
      <c r="I104" s="1900"/>
      <c r="J104" s="485"/>
      <c r="K104" s="485"/>
      <c r="L104" s="485"/>
      <c r="M104" s="1901"/>
      <c r="N104" s="3016"/>
      <c r="O104" s="3016"/>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5"/>
      <c r="O105" s="3015"/>
      <c r="P105" s="2057"/>
      <c r="Q105" s="1872"/>
    </row>
    <row r="106" spans="1:17" ht="15" thickTop="1">
      <c r="A106" s="1902"/>
      <c r="B106" s="1857" t="s">
        <v>2324</v>
      </c>
      <c r="C106" s="468"/>
      <c r="D106" s="468"/>
      <c r="E106" s="1578"/>
      <c r="F106" s="1578"/>
      <c r="G106" s="1578"/>
      <c r="H106" s="1578"/>
      <c r="I106" s="1578"/>
      <c r="J106" s="1578"/>
      <c r="K106" s="473"/>
      <c r="L106" s="473"/>
      <c r="M106" s="1892"/>
      <c r="N106" s="3014"/>
      <c r="O106" s="3014"/>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5"/>
      <c r="O107" s="3015"/>
      <c r="P107" s="2056"/>
      <c r="Q107" s="1820"/>
    </row>
    <row r="108" spans="1:17" ht="15" thickTop="1">
      <c r="A108" s="1902"/>
      <c r="B108" s="1857" t="s">
        <v>2326</v>
      </c>
      <c r="C108" s="468"/>
      <c r="D108" s="468"/>
      <c r="E108" s="468"/>
      <c r="F108" s="1578"/>
      <c r="G108" s="1578"/>
      <c r="H108" s="1578"/>
      <c r="I108" s="1578"/>
      <c r="J108" s="1578"/>
      <c r="K108" s="473"/>
      <c r="L108" s="473"/>
      <c r="M108" s="1892"/>
      <c r="N108" s="3014"/>
      <c r="O108" s="3014"/>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5"/>
      <c r="O109" s="3015"/>
      <c r="P109" s="2056"/>
      <c r="Q109" s="1820"/>
    </row>
    <row r="110" spans="1:17" ht="15" thickTop="1">
      <c r="A110" s="1902"/>
      <c r="B110" s="1857"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2"/>
      <c r="N110" s="3014"/>
      <c r="O110" s="3014"/>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4"/>
      <c r="O111" s="3014"/>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5"/>
      <c r="O112" s="3015"/>
      <c r="P112" s="2056"/>
      <c r="Q112" s="1820"/>
    </row>
    <row r="113" spans="1:17" s="1770" customFormat="1" ht="15" thickTop="1">
      <c r="A113" s="1898"/>
      <c r="B113" s="1857" t="s">
        <v>2397</v>
      </c>
      <c r="C113" s="468"/>
      <c r="D113" s="468"/>
      <c r="E113" s="468"/>
      <c r="F113" s="468"/>
      <c r="G113" s="468"/>
      <c r="H113" s="1578"/>
      <c r="I113" s="1578"/>
      <c r="J113" s="1578"/>
      <c r="K113" s="473"/>
      <c r="L113" s="473"/>
      <c r="M113" s="1892"/>
      <c r="N113" s="3016"/>
      <c r="O113" s="3016"/>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6"/>
      <c r="O114" s="3016"/>
      <c r="P114" s="2057"/>
      <c r="Q114" s="1872"/>
    </row>
    <row r="115" spans="1:17" ht="15" thickTop="1">
      <c r="A115" s="1902"/>
      <c r="B115" s="1857" t="s">
        <v>2328</v>
      </c>
      <c r="C115" s="468"/>
      <c r="D115" s="468"/>
      <c r="E115" s="1578"/>
      <c r="F115" s="1578"/>
      <c r="G115" s="1578"/>
      <c r="H115" s="1578"/>
      <c r="I115" s="1578"/>
      <c r="J115" s="1578"/>
      <c r="K115" s="473"/>
      <c r="L115" s="473"/>
      <c r="M115" s="1892"/>
      <c r="N115" s="3014"/>
      <c r="O115" s="3014"/>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5"/>
      <c r="O116" s="3015"/>
      <c r="P116" s="2056"/>
      <c r="Q116" s="1820"/>
    </row>
    <row r="117" spans="1:17" ht="15" thickTop="1">
      <c r="A117" s="1902"/>
      <c r="B117" s="1857" t="s">
        <v>2329</v>
      </c>
      <c r="C117" s="468"/>
      <c r="D117" s="468"/>
      <c r="E117" s="468"/>
      <c r="F117" s="468"/>
      <c r="G117" s="468"/>
      <c r="H117" s="1578"/>
      <c r="I117" s="1578"/>
      <c r="J117" s="1578"/>
      <c r="K117" s="473"/>
      <c r="L117" s="473"/>
      <c r="M117" s="1892"/>
      <c r="N117" s="3014"/>
      <c r="O117" s="3014"/>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5"/>
      <c r="O118" s="3015"/>
      <c r="P118" s="2056"/>
      <c r="Q118" s="1820"/>
    </row>
    <row r="119" spans="1:17" ht="15" thickTop="1">
      <c r="A119" s="1902"/>
      <c r="B119" s="2504" t="s">
        <v>2398</v>
      </c>
      <c r="C119" s="1578"/>
      <c r="D119" s="1578"/>
      <c r="E119" s="1578"/>
      <c r="F119" s="1578"/>
      <c r="G119" s="1578"/>
      <c r="H119" s="1578"/>
      <c r="I119" s="1578"/>
      <c r="J119" s="1578"/>
      <c r="K119" s="1578"/>
      <c r="L119" s="1578"/>
      <c r="M119" s="2505"/>
      <c r="N119" s="3015"/>
      <c r="O119" s="3015"/>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5"/>
      <c r="O120" s="3015"/>
      <c r="P120" s="2056"/>
      <c r="Q120" s="1820"/>
    </row>
    <row r="121" spans="1:17" s="1770" customFormat="1" ht="15" thickTop="1">
      <c r="A121" s="1898"/>
      <c r="B121" s="1857" t="s">
        <v>2380</v>
      </c>
      <c r="C121" s="468"/>
      <c r="D121" s="468"/>
      <c r="E121" s="468"/>
      <c r="F121" s="1578"/>
      <c r="G121" s="443"/>
      <c r="H121" s="443"/>
      <c r="I121" s="443"/>
      <c r="J121" s="443"/>
      <c r="K121" s="443"/>
      <c r="L121" s="443"/>
      <c r="M121" s="1869"/>
      <c r="N121" s="3016"/>
      <c r="O121" s="3016"/>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6"/>
      <c r="O122" s="3016"/>
      <c r="P122" s="2057"/>
      <c r="Q122" s="1872"/>
    </row>
    <row r="123" spans="1:17" ht="15" thickTop="1">
      <c r="A123" s="1902"/>
      <c r="B123" s="1857" t="s">
        <v>2331</v>
      </c>
      <c r="C123" s="468"/>
      <c r="D123" s="468"/>
      <c r="E123" s="468"/>
      <c r="F123" s="1578"/>
      <c r="G123" s="1578"/>
      <c r="H123" s="1578"/>
      <c r="I123" s="1578"/>
      <c r="J123" s="1578"/>
      <c r="K123" s="473"/>
      <c r="L123" s="473"/>
      <c r="M123" s="1892"/>
      <c r="N123" s="3014"/>
      <c r="O123" s="3014"/>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5"/>
      <c r="O124" s="3015"/>
      <c r="P124" s="2056"/>
      <c r="Q124" s="1820"/>
    </row>
    <row r="125" spans="1:17" ht="15" thickTop="1">
      <c r="A125" s="1902"/>
      <c r="B125" s="1857" t="s">
        <v>2332</v>
      </c>
      <c r="C125" s="579" t="s">
        <v>2307</v>
      </c>
      <c r="D125" s="579" t="s">
        <v>2308</v>
      </c>
      <c r="E125" s="579" t="s">
        <v>2309</v>
      </c>
      <c r="F125" s="579" t="s">
        <v>2310</v>
      </c>
      <c r="G125" s="579" t="s">
        <v>2311</v>
      </c>
      <c r="H125" s="1858"/>
      <c r="I125" s="1858"/>
      <c r="J125" s="1858"/>
      <c r="K125" s="428"/>
      <c r="L125" s="428"/>
      <c r="M125" s="1859"/>
      <c r="N125" s="3014"/>
      <c r="O125" s="3014"/>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5"/>
      <c r="O126" s="3015"/>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6"/>
      <c r="O127" s="3016"/>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6"/>
      <c r="O128" s="3016"/>
      <c r="P128" s="2057"/>
      <c r="Q128" s="1872"/>
    </row>
    <row r="129" spans="1:17" ht="15" thickTop="1">
      <c r="A129" s="1902"/>
      <c r="B129" s="1857">
        <f>B46</f>
        <v>111</v>
      </c>
      <c r="C129" s="468"/>
      <c r="D129" s="468"/>
      <c r="E129" s="468"/>
      <c r="F129" s="468"/>
      <c r="G129" s="1578"/>
      <c r="H129" s="1578"/>
      <c r="I129" s="1578"/>
      <c r="J129" s="1578"/>
      <c r="K129" s="473"/>
      <c r="L129" s="473"/>
      <c r="M129" s="1892"/>
      <c r="N129" s="3014"/>
      <c r="O129" s="3014"/>
      <c r="P129" s="2056"/>
      <c r="Q129" s="1820"/>
    </row>
    <row r="130" spans="1:17" ht="15.75" thickBot="1">
      <c r="A130" s="1852"/>
      <c r="B130" s="1860"/>
      <c r="C130" s="1873"/>
      <c r="D130" s="1873"/>
      <c r="E130" s="1873"/>
      <c r="F130" s="1873"/>
      <c r="G130" s="1854"/>
      <c r="H130" s="1854"/>
      <c r="I130" s="1854"/>
      <c r="J130" s="1854"/>
      <c r="K130" s="1854"/>
      <c r="L130" s="1854"/>
      <c r="M130" s="1855"/>
      <c r="N130" s="3015"/>
      <c r="O130" s="3015"/>
      <c r="P130" s="2056"/>
      <c r="Q130" s="1820"/>
    </row>
    <row r="131" spans="1:17" ht="15" thickTop="1">
      <c r="A131" s="1902"/>
      <c r="B131" s="1863">
        <f>B47</f>
        <v>111</v>
      </c>
      <c r="C131" s="409"/>
      <c r="D131" s="409"/>
      <c r="E131" s="409"/>
      <c r="F131" s="409"/>
      <c r="G131" s="1893"/>
      <c r="H131" s="1893"/>
      <c r="I131" s="1893"/>
      <c r="J131" s="1893"/>
      <c r="K131" s="409"/>
      <c r="L131" s="409"/>
      <c r="M131" s="1894"/>
      <c r="N131" s="3014"/>
      <c r="O131" s="3014"/>
      <c r="P131" s="2056"/>
      <c r="Q131" s="1820"/>
    </row>
    <row r="132" spans="1:17" ht="15.75" thickBot="1">
      <c r="A132" s="2508"/>
      <c r="B132" s="1880"/>
      <c r="C132" s="1881"/>
      <c r="D132" s="1881"/>
      <c r="E132" s="1881"/>
      <c r="F132" s="1881"/>
      <c r="G132" s="1896"/>
      <c r="H132" s="1896"/>
      <c r="I132" s="1896"/>
      <c r="J132" s="1896"/>
      <c r="K132" s="1896"/>
      <c r="L132" s="1896"/>
      <c r="M132" s="1897"/>
      <c r="N132" s="3015"/>
      <c r="O132" s="3015"/>
      <c r="P132" s="2056"/>
      <c r="Q132"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2399</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64.19</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767" t="s">
        <v>2246</v>
      </c>
      <c r="D4" s="3768"/>
      <c r="E4" s="3769" t="s">
        <v>2247</v>
      </c>
      <c r="F4" s="3770"/>
      <c r="G4" s="3767" t="s">
        <v>2248</v>
      </c>
      <c r="H4" s="3768"/>
      <c r="I4" s="3767" t="s">
        <v>2249</v>
      </c>
      <c r="J4" s="3768"/>
      <c r="K4" s="496" t="s">
        <v>2250</v>
      </c>
      <c r="L4" s="3023"/>
      <c r="M4" s="3024"/>
      <c r="N4" s="3024"/>
      <c r="O4" s="3024"/>
      <c r="P4" s="3771" t="s">
        <v>2251</v>
      </c>
      <c r="Q4" s="3772"/>
      <c r="R4" s="3754" t="s">
        <v>2247</v>
      </c>
      <c r="S4" s="3755"/>
      <c r="T4" s="3754" t="s">
        <v>2248</v>
      </c>
      <c r="U4" s="3755"/>
      <c r="V4" s="3777" t="s">
        <v>2249</v>
      </c>
      <c r="W4" s="3777"/>
      <c r="X4" s="1335"/>
      <c r="Y4" s="3754" t="s">
        <v>2251</v>
      </c>
      <c r="Z4" s="3755"/>
      <c r="AA4" s="3764" t="s">
        <v>2247</v>
      </c>
      <c r="AB4" s="3765" t="s">
        <v>2248</v>
      </c>
      <c r="AC4" s="3764" t="s">
        <v>2249</v>
      </c>
    </row>
    <row r="5" spans="1:29" ht="15">
      <c r="A5" s="297"/>
      <c r="B5" s="298"/>
      <c r="C5" s="3780" t="s">
        <v>2252</v>
      </c>
      <c r="D5" s="3781"/>
      <c r="E5" s="3778" t="s">
        <v>2253</v>
      </c>
      <c r="F5" s="3779"/>
      <c r="G5" s="3780" t="s">
        <v>2254</v>
      </c>
      <c r="H5" s="3781"/>
      <c r="I5" s="3780" t="s">
        <v>2255</v>
      </c>
      <c r="J5" s="3781"/>
      <c r="K5" s="496"/>
      <c r="L5" s="3023"/>
      <c r="M5" s="3024"/>
      <c r="N5" s="3024"/>
      <c r="O5" s="3024"/>
      <c r="P5" s="3773"/>
      <c r="Q5" s="3774"/>
      <c r="R5" s="3756"/>
      <c r="S5" s="3757"/>
      <c r="T5" s="3756"/>
      <c r="U5" s="3757"/>
      <c r="V5" s="3777"/>
      <c r="W5" s="3777"/>
      <c r="X5" s="1335"/>
      <c r="Y5" s="3756"/>
      <c r="Z5" s="3757"/>
      <c r="AA5" s="3765"/>
      <c r="AB5" s="3765"/>
      <c r="AC5" s="3765"/>
    </row>
    <row r="6" spans="1:29" ht="15.75" thickBot="1">
      <c r="A6" s="299"/>
      <c r="B6" s="300"/>
      <c r="C6" s="3782" t="s">
        <v>2256</v>
      </c>
      <c r="D6" s="3783"/>
      <c r="E6" s="3784" t="s">
        <v>2256</v>
      </c>
      <c r="F6" s="3785"/>
      <c r="G6" s="3782" t="s">
        <v>2256</v>
      </c>
      <c r="H6" s="3783"/>
      <c r="I6" s="3782" t="s">
        <v>2256</v>
      </c>
      <c r="J6" s="3783"/>
      <c r="K6" s="496" t="s">
        <v>2257</v>
      </c>
      <c r="L6" s="3023"/>
      <c r="M6" s="3024"/>
      <c r="N6" s="3024"/>
      <c r="O6" s="3024"/>
      <c r="P6" s="3775"/>
      <c r="Q6" s="3776"/>
      <c r="R6" s="3756"/>
      <c r="S6" s="3757"/>
      <c r="T6" s="3758"/>
      <c r="U6" s="3759"/>
      <c r="V6" s="3777"/>
      <c r="W6" s="3777"/>
      <c r="X6" s="1335"/>
      <c r="Y6" s="3758"/>
      <c r="Z6" s="3759"/>
      <c r="AA6" s="3766"/>
      <c r="AB6" s="3766"/>
      <c r="AC6" s="3766"/>
    </row>
    <row r="7" spans="1:29" s="25" customFormat="1" ht="15.75" thickBot="1">
      <c r="A7" s="301" t="s">
        <v>2258</v>
      </c>
      <c r="B7" s="302"/>
      <c r="C7" s="303">
        <f>'数据-取费表'!B2</f>
        <v>40002</v>
      </c>
      <c r="D7" s="304">
        <v>100</v>
      </c>
      <c r="E7" s="305"/>
      <c r="F7" s="306">
        <f>SUMIF(52:52,YEAR(E7)&amp;"-"&amp;MONTH(E7),53:53)</f>
        <v>0</v>
      </c>
      <c r="G7" s="305"/>
      <c r="H7" s="304">
        <f>SUMIF(52:52,YEAR(G7)&amp;"-"&amp;MONTH(G7),53:53)</f>
        <v>0</v>
      </c>
      <c r="I7" s="305"/>
      <c r="J7" s="304">
        <f>SUMIF(52:52,YEAR(I7)&amp;"-"&amp;MONTH(I7),53:53)</f>
        <v>0</v>
      </c>
      <c r="K7" s="497"/>
      <c r="L7" s="3025"/>
      <c r="M7" s="3026"/>
      <c r="N7" s="3026"/>
      <c r="O7" s="3026"/>
      <c r="P7" s="3752" t="s">
        <v>2259</v>
      </c>
      <c r="Q7" s="3760"/>
      <c r="R7" s="627" t="s">
        <v>25</v>
      </c>
      <c r="S7" s="628">
        <f t="shared" ref="S7:S15" si="0">F7</f>
        <v>0</v>
      </c>
      <c r="T7" s="627" t="s">
        <v>25</v>
      </c>
      <c r="U7" s="628">
        <f t="shared" ref="U7:U15" si="1">H7</f>
        <v>0</v>
      </c>
      <c r="V7" s="627" t="s">
        <v>25</v>
      </c>
      <c r="W7" s="628">
        <f t="shared" ref="W7:W15" si="2">J7</f>
        <v>0</v>
      </c>
      <c r="X7" s="629"/>
      <c r="Y7" s="3752" t="s">
        <v>2259</v>
      </c>
      <c r="Z7" s="3753"/>
      <c r="AA7" s="630" t="e">
        <f>D7/F7</f>
        <v>#DIV/0!</v>
      </c>
      <c r="AB7" s="630" t="e">
        <f>D7/H7</f>
        <v>#DIV/0!</v>
      </c>
      <c r="AC7" s="630" t="e">
        <f>D7/J7</f>
        <v>#DIV/0!</v>
      </c>
    </row>
    <row r="8" spans="1:29" s="25" customFormat="1" ht="15.75" thickBot="1">
      <c r="A8" s="301" t="s">
        <v>2260</v>
      </c>
      <c r="B8" s="302"/>
      <c r="C8" s="307" t="s">
        <v>2881</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752" t="s">
        <v>2262</v>
      </c>
      <c r="Q8" s="3753"/>
      <c r="R8" s="627" t="s">
        <v>25</v>
      </c>
      <c r="S8" s="628">
        <f t="shared" si="0"/>
        <v>0</v>
      </c>
      <c r="T8" s="627" t="s">
        <v>25</v>
      </c>
      <c r="U8" s="628">
        <f t="shared" si="1"/>
        <v>0</v>
      </c>
      <c r="V8" s="627" t="s">
        <v>25</v>
      </c>
      <c r="W8" s="628">
        <f t="shared" si="2"/>
        <v>0</v>
      </c>
      <c r="X8" s="629"/>
      <c r="Y8" s="3752" t="s">
        <v>2262</v>
      </c>
      <c r="Z8" s="3753"/>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744" t="s">
        <v>2265</v>
      </c>
      <c r="Q9" s="1327" t="str">
        <f t="shared" ref="Q9:Q15" si="6">B9</f>
        <v>用途</v>
      </c>
      <c r="R9" s="627" t="s">
        <v>25</v>
      </c>
      <c r="S9" s="628">
        <f t="shared" si="0"/>
        <v>100</v>
      </c>
      <c r="T9" s="627" t="s">
        <v>25</v>
      </c>
      <c r="U9" s="628">
        <f t="shared" si="1"/>
        <v>100</v>
      </c>
      <c r="V9" s="627" t="s">
        <v>25</v>
      </c>
      <c r="W9" s="628">
        <f t="shared" si="2"/>
        <v>100</v>
      </c>
      <c r="X9" s="629"/>
      <c r="Y9" s="3763"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744"/>
      <c r="Q10" s="1327" t="str">
        <f t="shared" si="6"/>
        <v>土地使用年限（年）</v>
      </c>
      <c r="R10" s="627" t="s">
        <v>25</v>
      </c>
      <c r="S10" s="628">
        <f t="shared" si="0"/>
        <v>100</v>
      </c>
      <c r="T10" s="627" t="s">
        <v>25</v>
      </c>
      <c r="U10" s="628">
        <f t="shared" si="1"/>
        <v>100</v>
      </c>
      <c r="V10" s="627" t="s">
        <v>25</v>
      </c>
      <c r="W10" s="628">
        <f t="shared" si="2"/>
        <v>100</v>
      </c>
      <c r="X10" s="629"/>
      <c r="Y10" s="3763"/>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744"/>
      <c r="Q11" s="1327" t="str">
        <f t="shared" si="6"/>
        <v>容积率</v>
      </c>
      <c r="R11" s="627" t="s">
        <v>25</v>
      </c>
      <c r="S11" s="628" t="e">
        <f t="shared" si="0"/>
        <v>#N/A</v>
      </c>
      <c r="T11" s="627" t="s">
        <v>25</v>
      </c>
      <c r="U11" s="628" t="e">
        <f t="shared" si="1"/>
        <v>#N/A</v>
      </c>
      <c r="V11" s="627" t="s">
        <v>25</v>
      </c>
      <c r="W11" s="628" t="e">
        <f t="shared" si="2"/>
        <v>#N/A</v>
      </c>
      <c r="X11" s="629"/>
      <c r="Y11" s="376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5"/>
      <c r="M12" s="3026"/>
      <c r="N12" s="3026"/>
      <c r="O12" s="3027"/>
      <c r="P12" s="3744"/>
      <c r="Q12" s="1327">
        <f t="shared" si="6"/>
        <v>111</v>
      </c>
      <c r="R12" s="627" t="s">
        <v>25</v>
      </c>
      <c r="S12" s="628">
        <f t="shared" si="0"/>
        <v>100</v>
      </c>
      <c r="T12" s="627" t="s">
        <v>25</v>
      </c>
      <c r="U12" s="628">
        <f t="shared" si="1"/>
        <v>100</v>
      </c>
      <c r="V12" s="627" t="s">
        <v>25</v>
      </c>
      <c r="W12" s="628">
        <f t="shared" si="2"/>
        <v>100</v>
      </c>
      <c r="X12" s="629"/>
      <c r="Y12" s="376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3"/>
      <c r="M13" s="3024"/>
      <c r="N13" s="3024"/>
      <c r="O13" s="3032"/>
      <c r="P13" s="3744"/>
      <c r="Q13" s="1327">
        <f t="shared" si="6"/>
        <v>111</v>
      </c>
      <c r="R13" s="627" t="s">
        <v>25</v>
      </c>
      <c r="S13" s="628">
        <f t="shared" si="0"/>
        <v>100</v>
      </c>
      <c r="T13" s="627" t="s">
        <v>25</v>
      </c>
      <c r="U13" s="628">
        <f t="shared" si="1"/>
        <v>100</v>
      </c>
      <c r="V13" s="627" t="s">
        <v>25</v>
      </c>
      <c r="W13" s="628">
        <f t="shared" si="2"/>
        <v>100</v>
      </c>
      <c r="X13" s="629"/>
      <c r="Y13" s="376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3"/>
      <c r="M14" s="3024"/>
      <c r="N14" s="3024"/>
      <c r="O14" s="3032"/>
      <c r="P14" s="3744"/>
      <c r="Q14" s="1327">
        <f t="shared" si="6"/>
        <v>111</v>
      </c>
      <c r="R14" s="627" t="s">
        <v>25</v>
      </c>
      <c r="S14" s="628">
        <f t="shared" si="0"/>
        <v>100</v>
      </c>
      <c r="T14" s="627" t="s">
        <v>25</v>
      </c>
      <c r="U14" s="628">
        <f t="shared" si="1"/>
        <v>100</v>
      </c>
      <c r="V14" s="627" t="s">
        <v>25</v>
      </c>
      <c r="W14" s="628">
        <f t="shared" si="2"/>
        <v>100</v>
      </c>
      <c r="X14" s="629"/>
      <c r="Y14" s="3763"/>
      <c r="Z14" s="19">
        <f t="shared" si="7"/>
        <v>111</v>
      </c>
      <c r="AA14" s="630">
        <f t="shared" si="3"/>
        <v>1</v>
      </c>
      <c r="AB14" s="630">
        <f t="shared" si="4"/>
        <v>1</v>
      </c>
      <c r="AC14" s="630">
        <f t="shared" si="5"/>
        <v>1</v>
      </c>
    </row>
    <row r="15" spans="1:29" ht="57">
      <c r="A15" s="329" t="s">
        <v>2269</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761" t="s">
        <v>2270</v>
      </c>
      <c r="Q15" s="1334" t="str">
        <f t="shared" si="6"/>
        <v>产业集聚程度</v>
      </c>
      <c r="R15" s="631" t="s">
        <v>25</v>
      </c>
      <c r="S15" s="632">
        <f t="shared" si="0"/>
        <v>100</v>
      </c>
      <c r="T15" s="631" t="s">
        <v>25</v>
      </c>
      <c r="U15" s="632">
        <f t="shared" si="1"/>
        <v>100</v>
      </c>
      <c r="V15" s="631" t="s">
        <v>25</v>
      </c>
      <c r="W15" s="632">
        <f t="shared" si="2"/>
        <v>100</v>
      </c>
      <c r="X15" s="1335"/>
      <c r="Y15" s="3761"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762"/>
      <c r="Q16" s="1334"/>
      <c r="R16" s="631"/>
      <c r="S16" s="632"/>
      <c r="T16" s="631"/>
      <c r="U16" s="632"/>
      <c r="V16" s="631"/>
      <c r="W16" s="632"/>
      <c r="X16" s="1335"/>
      <c r="Y16" s="3762"/>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762"/>
      <c r="Q17" s="1334" t="str">
        <f>B17</f>
        <v>交通便捷度</v>
      </c>
      <c r="R17" s="631" t="s">
        <v>25</v>
      </c>
      <c r="S17" s="632">
        <f>F17</f>
        <v>100</v>
      </c>
      <c r="T17" s="631" t="s">
        <v>25</v>
      </c>
      <c r="U17" s="632">
        <f>H17</f>
        <v>100</v>
      </c>
      <c r="V17" s="631" t="s">
        <v>25</v>
      </c>
      <c r="W17" s="632">
        <f>J17</f>
        <v>100</v>
      </c>
      <c r="X17" s="1335"/>
      <c r="Y17" s="376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3"/>
      <c r="M18" s="3024"/>
      <c r="N18" s="3024"/>
      <c r="O18" s="3032"/>
      <c r="P18" s="3762"/>
      <c r="Q18" s="1334"/>
      <c r="R18" s="631"/>
      <c r="S18" s="632"/>
      <c r="T18" s="631"/>
      <c r="U18" s="632"/>
      <c r="V18" s="631"/>
      <c r="W18" s="632"/>
      <c r="X18" s="1335"/>
      <c r="Y18" s="3762"/>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762"/>
      <c r="Q19" s="1334" t="str">
        <f>B19</f>
        <v>公共配套设施</v>
      </c>
      <c r="R19" s="631" t="s">
        <v>25</v>
      </c>
      <c r="S19" s="632">
        <f>F19</f>
        <v>100</v>
      </c>
      <c r="T19" s="631" t="s">
        <v>25</v>
      </c>
      <c r="U19" s="632">
        <f>H19</f>
        <v>100</v>
      </c>
      <c r="V19" s="631" t="s">
        <v>25</v>
      </c>
      <c r="W19" s="632">
        <f>J19</f>
        <v>100</v>
      </c>
      <c r="X19" s="1335"/>
      <c r="Y19" s="376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3"/>
      <c r="M20" s="3024"/>
      <c r="N20" s="3024"/>
      <c r="O20" s="3032"/>
      <c r="P20" s="3762"/>
      <c r="Q20" s="1334"/>
      <c r="R20" s="631"/>
      <c r="S20" s="632"/>
      <c r="T20" s="631"/>
      <c r="U20" s="632"/>
      <c r="V20" s="631"/>
      <c r="W20" s="632"/>
      <c r="X20" s="1335"/>
      <c r="Y20" s="3762"/>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762"/>
      <c r="Q21" s="1334" t="str">
        <f>B21</f>
        <v>基础设施水平</v>
      </c>
      <c r="R21" s="631" t="s">
        <v>25</v>
      </c>
      <c r="S21" s="632">
        <f>F21</f>
        <v>100</v>
      </c>
      <c r="T21" s="631" t="s">
        <v>25</v>
      </c>
      <c r="U21" s="632">
        <f>H21</f>
        <v>100</v>
      </c>
      <c r="V21" s="631" t="s">
        <v>25</v>
      </c>
      <c r="W21" s="632">
        <f>J21</f>
        <v>100</v>
      </c>
      <c r="X21" s="1335"/>
      <c r="Y21" s="376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3"/>
      <c r="M22" s="3024"/>
      <c r="N22" s="3024"/>
      <c r="O22" s="3032"/>
      <c r="P22" s="3762"/>
      <c r="Q22" s="1334"/>
      <c r="R22" s="631"/>
      <c r="S22" s="632"/>
      <c r="T22" s="631"/>
      <c r="U22" s="632"/>
      <c r="V22" s="631"/>
      <c r="W22" s="632"/>
      <c r="X22" s="1335"/>
      <c r="Y22" s="3762"/>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762"/>
      <c r="Q23" s="1334" t="str">
        <f>B23</f>
        <v>环境质量</v>
      </c>
      <c r="R23" s="631" t="s">
        <v>25</v>
      </c>
      <c r="S23" s="632">
        <f>F23</f>
        <v>100</v>
      </c>
      <c r="T23" s="631" t="s">
        <v>25</v>
      </c>
      <c r="U23" s="632">
        <f>H23</f>
        <v>100</v>
      </c>
      <c r="V23" s="631" t="s">
        <v>25</v>
      </c>
      <c r="W23" s="632">
        <f>J23</f>
        <v>100</v>
      </c>
      <c r="X23" s="1335"/>
      <c r="Y23" s="376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3"/>
      <c r="M24" s="3024"/>
      <c r="N24" s="3024"/>
      <c r="O24" s="3032"/>
      <c r="P24" s="3762"/>
      <c r="Q24" s="1334"/>
      <c r="R24" s="631"/>
      <c r="S24" s="632"/>
      <c r="T24" s="631"/>
      <c r="U24" s="632"/>
      <c r="V24" s="631"/>
      <c r="W24" s="632"/>
      <c r="X24" s="1335"/>
      <c r="Y24" s="376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762"/>
      <c r="Q25" s="1334">
        <f>B25</f>
        <v>111</v>
      </c>
      <c r="R25" s="631" t="s">
        <v>25</v>
      </c>
      <c r="S25" s="632">
        <f>F25</f>
        <v>100</v>
      </c>
      <c r="T25" s="631" t="s">
        <v>25</v>
      </c>
      <c r="U25" s="632">
        <f>H25</f>
        <v>100</v>
      </c>
      <c r="V25" s="631" t="s">
        <v>25</v>
      </c>
      <c r="W25" s="632">
        <f>J25</f>
        <v>100</v>
      </c>
      <c r="X25" s="1335"/>
      <c r="Y25" s="376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762"/>
      <c r="Q26" s="1334">
        <f t="shared" ref="Q26:Q40" si="11">B26</f>
        <v>111</v>
      </c>
      <c r="R26" s="631" t="s">
        <v>25</v>
      </c>
      <c r="S26" s="632">
        <f>F26</f>
        <v>100</v>
      </c>
      <c r="T26" s="631" t="s">
        <v>25</v>
      </c>
      <c r="U26" s="632">
        <f>H26</f>
        <v>100</v>
      </c>
      <c r="V26" s="631" t="s">
        <v>25</v>
      </c>
      <c r="W26" s="632">
        <f>J26</f>
        <v>100</v>
      </c>
      <c r="X26" s="1335"/>
      <c r="Y26" s="376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762"/>
      <c r="Q27" s="1327">
        <f t="shared" si="11"/>
        <v>111</v>
      </c>
      <c r="R27" s="627" t="s">
        <v>25</v>
      </c>
      <c r="S27" s="628">
        <f>F27</f>
        <v>100</v>
      </c>
      <c r="T27" s="627" t="s">
        <v>25</v>
      </c>
      <c r="U27" s="628">
        <f>H27</f>
        <v>100</v>
      </c>
      <c r="V27" s="627" t="s">
        <v>25</v>
      </c>
      <c r="W27" s="628">
        <f>J27</f>
        <v>100</v>
      </c>
      <c r="X27" s="629"/>
      <c r="Y27" s="376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762"/>
      <c r="Q28" s="1334">
        <f t="shared" si="11"/>
        <v>111</v>
      </c>
      <c r="R28" s="631" t="s">
        <v>25</v>
      </c>
      <c r="S28" s="632">
        <f t="shared" ref="S28:S40" si="12">F28</f>
        <v>100</v>
      </c>
      <c r="T28" s="631" t="s">
        <v>25</v>
      </c>
      <c r="U28" s="632">
        <f t="shared" ref="U28:U40" si="13">H28</f>
        <v>100</v>
      </c>
      <c r="V28" s="631" t="s">
        <v>25</v>
      </c>
      <c r="W28" s="632">
        <f t="shared" ref="W28:W40" si="14">J28</f>
        <v>100</v>
      </c>
      <c r="X28" s="1335"/>
      <c r="Y28" s="3762"/>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3"/>
      <c r="M29" s="3024"/>
      <c r="N29" s="3024"/>
      <c r="O29" s="3032"/>
      <c r="P29" s="3749" t="s">
        <v>2275</v>
      </c>
      <c r="Q29" s="1334" t="str">
        <f t="shared" si="11"/>
        <v>建筑类型</v>
      </c>
      <c r="R29" s="631" t="s">
        <v>25</v>
      </c>
      <c r="S29" s="632">
        <f t="shared" si="12"/>
        <v>100</v>
      </c>
      <c r="T29" s="631" t="s">
        <v>25</v>
      </c>
      <c r="U29" s="632">
        <f t="shared" si="13"/>
        <v>100</v>
      </c>
      <c r="V29" s="631" t="s">
        <v>25</v>
      </c>
      <c r="W29" s="632">
        <f t="shared" si="14"/>
        <v>100</v>
      </c>
      <c r="X29" s="1335"/>
      <c r="Y29" s="3750"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750"/>
      <c r="Q30" s="633" t="str">
        <f t="shared" si="11"/>
        <v>项目建筑规模</v>
      </c>
      <c r="R30" s="634" t="s">
        <v>25</v>
      </c>
      <c r="S30" s="635" t="e">
        <f t="shared" si="12"/>
        <v>#N/A</v>
      </c>
      <c r="T30" s="634" t="s">
        <v>25</v>
      </c>
      <c r="U30" s="635" t="e">
        <f t="shared" si="13"/>
        <v>#N/A</v>
      </c>
      <c r="V30" s="634" t="s">
        <v>25</v>
      </c>
      <c r="W30" s="635" t="e">
        <f t="shared" si="14"/>
        <v>#N/A</v>
      </c>
      <c r="X30" s="636"/>
      <c r="Y30" s="3750"/>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750"/>
      <c r="Q31" s="1334" t="str">
        <f t="shared" si="11"/>
        <v>建筑结构</v>
      </c>
      <c r="R31" s="631" t="s">
        <v>25</v>
      </c>
      <c r="S31" s="632">
        <f t="shared" si="12"/>
        <v>100</v>
      </c>
      <c r="T31" s="631" t="s">
        <v>25</v>
      </c>
      <c r="U31" s="632">
        <f t="shared" si="13"/>
        <v>100</v>
      </c>
      <c r="V31" s="631" t="s">
        <v>25</v>
      </c>
      <c r="W31" s="632">
        <f t="shared" si="14"/>
        <v>100</v>
      </c>
      <c r="X31" s="1335"/>
      <c r="Y31" s="3750"/>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750"/>
      <c r="Q32" s="1334" t="str">
        <f t="shared" si="11"/>
        <v>公共部分装修</v>
      </c>
      <c r="R32" s="631" t="s">
        <v>25</v>
      </c>
      <c r="S32" s="632">
        <f t="shared" si="12"/>
        <v>100</v>
      </c>
      <c r="T32" s="631" t="s">
        <v>25</v>
      </c>
      <c r="U32" s="632">
        <f t="shared" si="13"/>
        <v>100</v>
      </c>
      <c r="V32" s="631" t="s">
        <v>25</v>
      </c>
      <c r="W32" s="632">
        <f t="shared" si="14"/>
        <v>100</v>
      </c>
      <c r="X32" s="1335"/>
      <c r="Y32" s="3750"/>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750"/>
      <c r="Q33" s="1334" t="str">
        <f t="shared" si="11"/>
        <v>成新度</v>
      </c>
      <c r="R33" s="631" t="s">
        <v>25</v>
      </c>
      <c r="S33" s="632" t="e">
        <f t="shared" si="12"/>
        <v>#N/A</v>
      </c>
      <c r="T33" s="631" t="s">
        <v>25</v>
      </c>
      <c r="U33" s="632" t="e">
        <f t="shared" si="13"/>
        <v>#N/A</v>
      </c>
      <c r="V33" s="631" t="s">
        <v>25</v>
      </c>
      <c r="W33" s="632" t="e">
        <f t="shared" si="14"/>
        <v>#N/A</v>
      </c>
      <c r="X33" s="1335"/>
      <c r="Y33" s="3750"/>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750"/>
      <c r="Q34" s="1327" t="str">
        <f t="shared" si="11"/>
        <v>物业管理</v>
      </c>
      <c r="R34" s="627" t="s">
        <v>25</v>
      </c>
      <c r="S34" s="628">
        <f t="shared" si="12"/>
        <v>100</v>
      </c>
      <c r="T34" s="627" t="s">
        <v>25</v>
      </c>
      <c r="U34" s="628">
        <f t="shared" si="13"/>
        <v>100</v>
      </c>
      <c r="V34" s="627" t="s">
        <v>25</v>
      </c>
      <c r="W34" s="628">
        <f t="shared" si="14"/>
        <v>100</v>
      </c>
      <c r="X34" s="629"/>
      <c r="Y34" s="3750"/>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750" t="s">
        <v>2275</v>
      </c>
      <c r="Q35" s="1334" t="str">
        <f t="shared" si="11"/>
        <v>市政基础设施</v>
      </c>
      <c r="R35" s="631" t="s">
        <v>25</v>
      </c>
      <c r="S35" s="632">
        <f t="shared" si="12"/>
        <v>100</v>
      </c>
      <c r="T35" s="631" t="s">
        <v>25</v>
      </c>
      <c r="U35" s="632">
        <f t="shared" si="13"/>
        <v>100</v>
      </c>
      <c r="V35" s="631" t="s">
        <v>25</v>
      </c>
      <c r="W35" s="632">
        <f t="shared" si="14"/>
        <v>100</v>
      </c>
      <c r="X35" s="1335"/>
      <c r="Y35" s="3750"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750"/>
      <c r="Q36" s="1334" t="str">
        <f t="shared" si="11"/>
        <v>内部装修</v>
      </c>
      <c r="R36" s="631" t="s">
        <v>25</v>
      </c>
      <c r="S36" s="632">
        <f t="shared" si="12"/>
        <v>100</v>
      </c>
      <c r="T36" s="631" t="s">
        <v>25</v>
      </c>
      <c r="U36" s="632">
        <f t="shared" si="13"/>
        <v>100</v>
      </c>
      <c r="V36" s="631" t="s">
        <v>25</v>
      </c>
      <c r="W36" s="632">
        <f t="shared" si="14"/>
        <v>100</v>
      </c>
      <c r="X36" s="1335"/>
      <c r="Y36" s="3750"/>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750"/>
      <c r="Q37" s="1334" t="str">
        <f t="shared" si="11"/>
        <v>内部装修状况</v>
      </c>
      <c r="R37" s="631" t="s">
        <v>25</v>
      </c>
      <c r="S37" s="632">
        <f t="shared" si="12"/>
        <v>100</v>
      </c>
      <c r="T37" s="631" t="s">
        <v>25</v>
      </c>
      <c r="U37" s="632">
        <f t="shared" si="13"/>
        <v>100</v>
      </c>
      <c r="V37" s="631" t="s">
        <v>25</v>
      </c>
      <c r="W37" s="632">
        <f t="shared" si="14"/>
        <v>100</v>
      </c>
      <c r="X37" s="1335"/>
      <c r="Y37" s="375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750"/>
      <c r="Q38" s="633">
        <f t="shared" si="11"/>
        <v>111</v>
      </c>
      <c r="R38" s="634" t="s">
        <v>25</v>
      </c>
      <c r="S38" s="635">
        <f t="shared" si="12"/>
        <v>100</v>
      </c>
      <c r="T38" s="634" t="s">
        <v>25</v>
      </c>
      <c r="U38" s="635">
        <f t="shared" si="13"/>
        <v>100</v>
      </c>
      <c r="V38" s="634" t="s">
        <v>25</v>
      </c>
      <c r="W38" s="635">
        <f t="shared" si="14"/>
        <v>100</v>
      </c>
      <c r="X38" s="636"/>
      <c r="Y38" s="375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750"/>
      <c r="Q39" s="1334">
        <f t="shared" si="11"/>
        <v>111</v>
      </c>
      <c r="R39" s="631" t="s">
        <v>25</v>
      </c>
      <c r="S39" s="632">
        <f t="shared" si="12"/>
        <v>100</v>
      </c>
      <c r="T39" s="631" t="s">
        <v>25</v>
      </c>
      <c r="U39" s="632">
        <f t="shared" si="13"/>
        <v>100</v>
      </c>
      <c r="V39" s="631" t="s">
        <v>25</v>
      </c>
      <c r="W39" s="632">
        <f t="shared" si="14"/>
        <v>100</v>
      </c>
      <c r="X39" s="1335"/>
      <c r="Y39" s="375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751"/>
      <c r="Q40" s="1334">
        <f t="shared" si="11"/>
        <v>111</v>
      </c>
      <c r="R40" s="631" t="s">
        <v>25</v>
      </c>
      <c r="S40" s="632">
        <f t="shared" si="12"/>
        <v>100</v>
      </c>
      <c r="T40" s="631" t="s">
        <v>25</v>
      </c>
      <c r="U40" s="632">
        <f t="shared" si="13"/>
        <v>100</v>
      </c>
      <c r="V40" s="631" t="s">
        <v>25</v>
      </c>
      <c r="W40" s="632">
        <f t="shared" si="14"/>
        <v>100</v>
      </c>
      <c r="X40" s="1335"/>
      <c r="Y40" s="3751"/>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5"/>
      <c r="N41" s="3024"/>
      <c r="P41" s="3744" t="str">
        <f>A41</f>
        <v>成交单价（元/平方米）</v>
      </c>
      <c r="Q41" s="3744"/>
      <c r="R41" s="3745">
        <f>E41</f>
        <v>0</v>
      </c>
      <c r="S41" s="3745"/>
      <c r="T41" s="3745">
        <f>G41</f>
        <v>0</v>
      </c>
      <c r="U41" s="3745"/>
      <c r="V41" s="3745">
        <f>I41</f>
        <v>0</v>
      </c>
      <c r="W41" s="3745"/>
      <c r="X41" s="618"/>
      <c r="Y41" s="638"/>
      <c r="Z41" s="618"/>
      <c r="AA41" s="618"/>
      <c r="AB41" s="618"/>
      <c r="AC41" s="618"/>
    </row>
    <row r="42" spans="1:29" ht="15.75" thickBot="1">
      <c r="A42" s="374" t="s">
        <v>2370</v>
      </c>
      <c r="B42" s="375"/>
      <c r="C42" s="1159" t="e">
        <f>R43</f>
        <v>#DIV/0!</v>
      </c>
      <c r="D42" s="1795" t="s">
        <v>2744</v>
      </c>
      <c r="E42" s="1160" t="e">
        <f>R42</f>
        <v>#DIV/0!</v>
      </c>
      <c r="F42" s="1797"/>
      <c r="G42" s="1159" t="e">
        <f>T42</f>
        <v>#DIV/0!</v>
      </c>
      <c r="H42" s="1797"/>
      <c r="I42" s="1160" t="e">
        <f>V42</f>
        <v>#DIV/0!</v>
      </c>
      <c r="J42" s="1797"/>
      <c r="K42" s="2509">
        <f>F42+H42+J42</f>
        <v>0</v>
      </c>
      <c r="L42" s="3035"/>
      <c r="N42" s="3024"/>
      <c r="P42" s="3744" t="str">
        <f>A42</f>
        <v>比较价值（元/平方米）</v>
      </c>
      <c r="Q42" s="3744"/>
      <c r="R42" s="3745" t="e">
        <f>IF(E1="售价",ROUND(PRODUCT(R41,AA7:AA40),0),ROUND(PRODUCT(R41,AA7:AA40),1))</f>
        <v>#DIV/0!</v>
      </c>
      <c r="S42" s="3745"/>
      <c r="T42" s="3745" t="e">
        <f>IF(E1="售价",ROUND(PRODUCT(T41,AB7:AB40),0),ROUND(PRODUCT(T41,AB7:AB40),1))</f>
        <v>#DIV/0!</v>
      </c>
      <c r="U42" s="3745"/>
      <c r="V42" s="3745" t="e">
        <f>IF(E1="售价",ROUND(PRODUCT(V41,AC7:AC40),0),ROUND(PRODUCT(V41,AC7:AC40),1))</f>
        <v>#DIV/0!</v>
      </c>
      <c r="W42" s="3745"/>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5"/>
      <c r="P43" s="3746" t="str">
        <f>A43</f>
        <v>估价对象XX用房的比较价值（楼面单价，元/平方米）</v>
      </c>
      <c r="Q43" s="3747"/>
      <c r="R43" s="3748" t="e">
        <f>IF(E1="售价",ROUND(IF(D42="简单平均",AVERAGE(R42:V42),R42*F42+T42*H42+V42*J42),0),ROUND(IF(D42="简单平均",AVERAGE(R42:V42),R42*F42+T42*H42+V42*J42),1))</f>
        <v>#DIV/0!</v>
      </c>
      <c r="S43" s="3748"/>
      <c r="T43" s="3748"/>
      <c r="U43" s="3748"/>
      <c r="V43" s="3748"/>
      <c r="W43" s="3748"/>
      <c r="X43" s="618"/>
      <c r="Y43" s="618"/>
      <c r="Z43" s="618"/>
      <c r="AA43" s="618"/>
      <c r="AB43" s="618"/>
      <c r="AC43" s="618"/>
    </row>
    <row r="44" spans="1:29">
      <c r="G44" s="3038"/>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2375</v>
      </c>
      <c r="B51" s="618"/>
      <c r="C51" s="621"/>
      <c r="D51" s="621"/>
      <c r="E51" s="621"/>
      <c r="F51" s="622"/>
      <c r="G51" s="622"/>
      <c r="H51" s="621"/>
      <c r="I51" s="621"/>
      <c r="J51" s="621"/>
      <c r="K51" s="623"/>
      <c r="L51" s="624"/>
      <c r="M51" s="621"/>
      <c r="N51" s="3041"/>
      <c r="O51" s="3041"/>
      <c r="P51" s="389"/>
      <c r="Q51" s="390"/>
    </row>
    <row r="52" spans="1:17" s="394" customFormat="1" ht="15">
      <c r="A52" s="391" t="s">
        <v>2258</v>
      </c>
      <c r="B52" s="392"/>
      <c r="C52" s="1187" t="str">
        <f>YEAR(C7)&amp;"-"&amp;MONTH(C7)</f>
        <v>2009-7</v>
      </c>
      <c r="D52" s="1188">
        <f>EDATE(C52,-1)</f>
        <v>39965</v>
      </c>
      <c r="E52" s="1189">
        <f t="shared" ref="E52:O52" si="16">EDATE(D52,-1)</f>
        <v>39934</v>
      </c>
      <c r="F52" s="1189">
        <f t="shared" si="16"/>
        <v>39904</v>
      </c>
      <c r="G52" s="1189">
        <f t="shared" si="16"/>
        <v>39873</v>
      </c>
      <c r="H52" s="1189">
        <f t="shared" si="16"/>
        <v>39845</v>
      </c>
      <c r="I52" s="1189">
        <f t="shared" si="16"/>
        <v>39814</v>
      </c>
      <c r="J52" s="1189">
        <f t="shared" si="16"/>
        <v>39783</v>
      </c>
      <c r="K52" s="1189">
        <f t="shared" si="16"/>
        <v>39753</v>
      </c>
      <c r="L52" s="1189">
        <f t="shared" si="16"/>
        <v>39722</v>
      </c>
      <c r="M52" s="1189">
        <f t="shared" si="16"/>
        <v>39692</v>
      </c>
      <c r="N52" s="1189">
        <f t="shared" si="16"/>
        <v>39661</v>
      </c>
      <c r="O52" s="1189">
        <f t="shared" si="16"/>
        <v>39630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64.19</v>
      </c>
      <c r="E3" s="839" t="s">
        <v>2405</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767" t="s">
        <v>2246</v>
      </c>
      <c r="D4" s="3768"/>
      <c r="E4" s="3769" t="s">
        <v>2247</v>
      </c>
      <c r="F4" s="3770"/>
      <c r="G4" s="3767" t="s">
        <v>2248</v>
      </c>
      <c r="H4" s="3768"/>
      <c r="I4" s="3767" t="s">
        <v>2249</v>
      </c>
      <c r="J4" s="3768"/>
      <c r="K4" s="496" t="s">
        <v>2250</v>
      </c>
      <c r="L4" s="3023"/>
      <c r="M4" s="3024"/>
      <c r="N4" s="3024"/>
      <c r="O4" s="3024"/>
      <c r="P4" s="3771" t="s">
        <v>2251</v>
      </c>
      <c r="Q4" s="3772"/>
      <c r="R4" s="3754" t="s">
        <v>2247</v>
      </c>
      <c r="S4" s="3755"/>
      <c r="T4" s="3754" t="s">
        <v>2248</v>
      </c>
      <c r="U4" s="3755"/>
      <c r="V4" s="3777" t="s">
        <v>2249</v>
      </c>
      <c r="W4" s="3777"/>
      <c r="X4" s="1335"/>
      <c r="Y4" s="3754" t="s">
        <v>2251</v>
      </c>
      <c r="Z4" s="3755"/>
      <c r="AA4" s="3764" t="s">
        <v>2247</v>
      </c>
      <c r="AB4" s="3765" t="s">
        <v>2248</v>
      </c>
      <c r="AC4" s="3764" t="s">
        <v>2249</v>
      </c>
    </row>
    <row r="5" spans="1:29" ht="15">
      <c r="A5" s="297"/>
      <c r="B5" s="298"/>
      <c r="C5" s="3780" t="s">
        <v>2252</v>
      </c>
      <c r="D5" s="3781"/>
      <c r="E5" s="3778" t="s">
        <v>2253</v>
      </c>
      <c r="F5" s="3779"/>
      <c r="G5" s="3780" t="s">
        <v>2254</v>
      </c>
      <c r="H5" s="3781"/>
      <c r="I5" s="3780" t="s">
        <v>2255</v>
      </c>
      <c r="J5" s="3781"/>
      <c r="K5" s="496"/>
      <c r="L5" s="3023"/>
      <c r="M5" s="3024"/>
      <c r="N5" s="3024"/>
      <c r="O5" s="3024"/>
      <c r="P5" s="3773"/>
      <c r="Q5" s="3774"/>
      <c r="R5" s="3756"/>
      <c r="S5" s="3757"/>
      <c r="T5" s="3756"/>
      <c r="U5" s="3757"/>
      <c r="V5" s="3777"/>
      <c r="W5" s="3777"/>
      <c r="X5" s="1335"/>
      <c r="Y5" s="3756"/>
      <c r="Z5" s="3757"/>
      <c r="AA5" s="3765"/>
      <c r="AB5" s="3765"/>
      <c r="AC5" s="3765"/>
    </row>
    <row r="6" spans="1:29" ht="15.75" thickBot="1">
      <c r="A6" s="299"/>
      <c r="B6" s="300"/>
      <c r="C6" s="3782" t="s">
        <v>2256</v>
      </c>
      <c r="D6" s="3783"/>
      <c r="E6" s="3784" t="s">
        <v>2256</v>
      </c>
      <c r="F6" s="3785"/>
      <c r="G6" s="3782" t="s">
        <v>2256</v>
      </c>
      <c r="H6" s="3783"/>
      <c r="I6" s="3782" t="s">
        <v>2256</v>
      </c>
      <c r="J6" s="3783"/>
      <c r="K6" s="496" t="s">
        <v>2257</v>
      </c>
      <c r="L6" s="3023"/>
      <c r="M6" s="3024"/>
      <c r="N6" s="3024"/>
      <c r="O6" s="3024"/>
      <c r="P6" s="3775"/>
      <c r="Q6" s="3776"/>
      <c r="R6" s="3756"/>
      <c r="S6" s="3757"/>
      <c r="T6" s="3758"/>
      <c r="U6" s="3759"/>
      <c r="V6" s="3777"/>
      <c r="W6" s="3777"/>
      <c r="X6" s="1335"/>
      <c r="Y6" s="3758"/>
      <c r="Z6" s="3759"/>
      <c r="AA6" s="3766"/>
      <c r="AB6" s="3766"/>
      <c r="AC6" s="3766"/>
    </row>
    <row r="7" spans="1:29" s="25" customFormat="1" ht="15.75" thickBot="1">
      <c r="A7" s="301" t="s">
        <v>2258</v>
      </c>
      <c r="B7" s="302"/>
      <c r="C7" s="303">
        <f>'数据-取费表'!B2</f>
        <v>40002</v>
      </c>
      <c r="D7" s="304">
        <v>100</v>
      </c>
      <c r="E7" s="305"/>
      <c r="F7" s="306">
        <f>SUMIF(48:48,YEAR(E7)&amp;"-"&amp;MONTH(E7),49:49)</f>
        <v>0</v>
      </c>
      <c r="G7" s="305"/>
      <c r="H7" s="304">
        <f>SUMIF(48:48,YEAR(G7)&amp;"-"&amp;MONTH(G7),49:49)</f>
        <v>0</v>
      </c>
      <c r="I7" s="305"/>
      <c r="J7" s="304">
        <f>SUMIF(48:48,YEAR(I7)&amp;"-"&amp;MONTH(I7),49:49)</f>
        <v>0</v>
      </c>
      <c r="K7" s="497"/>
      <c r="L7" s="3025"/>
      <c r="M7" s="3026"/>
      <c r="N7" s="3026"/>
      <c r="O7" s="3026"/>
      <c r="P7" s="3752" t="s">
        <v>2259</v>
      </c>
      <c r="Q7" s="3760"/>
      <c r="R7" s="627" t="s">
        <v>25</v>
      </c>
      <c r="S7" s="628">
        <f t="shared" ref="S7:S14" si="0">F7</f>
        <v>0</v>
      </c>
      <c r="T7" s="627" t="s">
        <v>25</v>
      </c>
      <c r="U7" s="628">
        <f t="shared" ref="U7:U14" si="1">H7</f>
        <v>0</v>
      </c>
      <c r="V7" s="627" t="s">
        <v>25</v>
      </c>
      <c r="W7" s="628">
        <f t="shared" ref="W7:W14" si="2">J7</f>
        <v>0</v>
      </c>
      <c r="X7" s="629"/>
      <c r="Y7" s="3752" t="s">
        <v>2259</v>
      </c>
      <c r="Z7" s="3753"/>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752" t="s">
        <v>2262</v>
      </c>
      <c r="Q8" s="3753"/>
      <c r="R8" s="627" t="s">
        <v>25</v>
      </c>
      <c r="S8" s="628">
        <f t="shared" si="0"/>
        <v>0</v>
      </c>
      <c r="T8" s="627" t="s">
        <v>25</v>
      </c>
      <c r="U8" s="628">
        <f t="shared" si="1"/>
        <v>0</v>
      </c>
      <c r="V8" s="627" t="s">
        <v>25</v>
      </c>
      <c r="W8" s="628">
        <f t="shared" si="2"/>
        <v>0</v>
      </c>
      <c r="X8" s="629"/>
      <c r="Y8" s="3752" t="s">
        <v>2262</v>
      </c>
      <c r="Z8" s="3753"/>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744" t="s">
        <v>2265</v>
      </c>
      <c r="Q9" s="1327" t="str">
        <f t="shared" ref="Q9:Q14" si="6">B9</f>
        <v>用途</v>
      </c>
      <c r="R9" s="627" t="s">
        <v>25</v>
      </c>
      <c r="S9" s="628">
        <f t="shared" si="0"/>
        <v>100</v>
      </c>
      <c r="T9" s="627" t="s">
        <v>25</v>
      </c>
      <c r="U9" s="628">
        <f t="shared" si="1"/>
        <v>100</v>
      </c>
      <c r="V9" s="627" t="s">
        <v>25</v>
      </c>
      <c r="W9" s="628">
        <f t="shared" si="2"/>
        <v>100</v>
      </c>
      <c r="X9" s="629"/>
      <c r="Y9" s="3763"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744"/>
      <c r="Q10" s="1327" t="str">
        <f t="shared" si="6"/>
        <v>土地使用年限（年）</v>
      </c>
      <c r="R10" s="627" t="s">
        <v>25</v>
      </c>
      <c r="S10" s="628">
        <f t="shared" si="0"/>
        <v>100</v>
      </c>
      <c r="T10" s="627" t="s">
        <v>25</v>
      </c>
      <c r="U10" s="628">
        <f t="shared" si="1"/>
        <v>100</v>
      </c>
      <c r="V10" s="627" t="s">
        <v>25</v>
      </c>
      <c r="W10" s="628">
        <f t="shared" si="2"/>
        <v>100</v>
      </c>
      <c r="X10" s="629"/>
      <c r="Y10" s="376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744"/>
      <c r="Q11" s="1327">
        <f t="shared" si="6"/>
        <v>111</v>
      </c>
      <c r="R11" s="627" t="s">
        <v>25</v>
      </c>
      <c r="S11" s="628">
        <f t="shared" si="0"/>
        <v>100</v>
      </c>
      <c r="T11" s="627" t="s">
        <v>25</v>
      </c>
      <c r="U11" s="628">
        <f t="shared" si="1"/>
        <v>100</v>
      </c>
      <c r="V11" s="627" t="s">
        <v>25</v>
      </c>
      <c r="W11" s="628">
        <f t="shared" si="2"/>
        <v>100</v>
      </c>
      <c r="X11" s="629"/>
      <c r="Y11" s="376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744"/>
      <c r="Q12" s="1327">
        <f t="shared" si="6"/>
        <v>111</v>
      </c>
      <c r="R12" s="627" t="s">
        <v>25</v>
      </c>
      <c r="S12" s="628">
        <f t="shared" si="0"/>
        <v>100</v>
      </c>
      <c r="T12" s="627" t="s">
        <v>25</v>
      </c>
      <c r="U12" s="628">
        <f t="shared" si="1"/>
        <v>100</v>
      </c>
      <c r="V12" s="627" t="s">
        <v>25</v>
      </c>
      <c r="W12" s="628">
        <f t="shared" si="2"/>
        <v>100</v>
      </c>
      <c r="X12" s="629"/>
      <c r="Y12" s="376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744"/>
      <c r="Q13" s="1327">
        <f t="shared" si="6"/>
        <v>111</v>
      </c>
      <c r="R13" s="627" t="s">
        <v>25</v>
      </c>
      <c r="S13" s="628">
        <f t="shared" si="0"/>
        <v>100</v>
      </c>
      <c r="T13" s="627" t="s">
        <v>25</v>
      </c>
      <c r="U13" s="628">
        <f t="shared" si="1"/>
        <v>100</v>
      </c>
      <c r="V13" s="627" t="s">
        <v>25</v>
      </c>
      <c r="W13" s="628">
        <f t="shared" si="2"/>
        <v>100</v>
      </c>
      <c r="X13" s="629"/>
      <c r="Y13" s="3763"/>
      <c r="Z13" s="19">
        <f t="shared" si="7"/>
        <v>111</v>
      </c>
      <c r="AA13" s="630">
        <f t="shared" si="3"/>
        <v>1</v>
      </c>
      <c r="AB13" s="630">
        <f t="shared" si="4"/>
        <v>1</v>
      </c>
      <c r="AC13" s="630">
        <f t="shared" si="5"/>
        <v>1</v>
      </c>
    </row>
    <row r="14" spans="1:29" ht="142.5">
      <c r="A14" s="294" t="s">
        <v>2269</v>
      </c>
      <c r="B14" s="511" t="s">
        <v>2406</v>
      </c>
      <c r="C14" s="1143" t="str">
        <f>IF(B1="工业",估价对象房地状况!G4,估价对象房地状况!C6)</f>
        <v>距地铁1号线四惠站（换乘站）约1000米（2003），距地铁7号线百子湾站约1.5公里（2014），周边有多条公交线路通过，交通便捷度较好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761" t="s">
        <v>2270</v>
      </c>
      <c r="Q14" s="1334" t="str">
        <f t="shared" si="6"/>
        <v>交通便捷度</v>
      </c>
      <c r="R14" s="631" t="s">
        <v>25</v>
      </c>
      <c r="S14" s="632">
        <f t="shared" si="0"/>
        <v>100</v>
      </c>
      <c r="T14" s="631" t="s">
        <v>25</v>
      </c>
      <c r="U14" s="632">
        <f t="shared" si="1"/>
        <v>100</v>
      </c>
      <c r="V14" s="631" t="s">
        <v>25</v>
      </c>
      <c r="W14" s="632">
        <f t="shared" si="2"/>
        <v>100</v>
      </c>
      <c r="X14" s="1335"/>
      <c r="Y14" s="3761"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762"/>
      <c r="Q15" s="1334"/>
      <c r="R15" s="631"/>
      <c r="S15" s="632"/>
      <c r="T15" s="631"/>
      <c r="U15" s="632"/>
      <c r="V15" s="631"/>
      <c r="W15" s="632"/>
      <c r="X15" s="1335"/>
      <c r="Y15" s="3762"/>
      <c r="Z15" s="1336"/>
      <c r="AA15" s="1337">
        <v>1</v>
      </c>
      <c r="AB15" s="1337">
        <v>1</v>
      </c>
      <c r="AC15" s="1337">
        <v>1</v>
      </c>
    </row>
    <row r="16" spans="1:29" ht="199.5">
      <c r="A16" s="297"/>
      <c r="B16" s="513" t="s">
        <v>2384</v>
      </c>
      <c r="C16" s="1145" t="str">
        <f>IF(B1="工业",估价对象房地状况!G5,估价对象房地状况!C7)</f>
        <v>华堂商场（十里堡店）、北京四惠中医医院（2016）、北京市朝阳区日坛小学（1962）、垂杨柳第四小学（1971）、北京市第十七中学（百子湾校区）（1946）、北京市日坛中学（四惠校区）（2015）</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762"/>
      <c r="Q16" s="1334" t="str">
        <f>B16</f>
        <v>公共配套设施</v>
      </c>
      <c r="R16" s="631" t="s">
        <v>25</v>
      </c>
      <c r="S16" s="632">
        <f>F16</f>
        <v>100</v>
      </c>
      <c r="T16" s="631" t="s">
        <v>25</v>
      </c>
      <c r="U16" s="632">
        <f>H16</f>
        <v>100</v>
      </c>
      <c r="V16" s="631" t="s">
        <v>25</v>
      </c>
      <c r="W16" s="632">
        <f>J16</f>
        <v>100</v>
      </c>
      <c r="X16" s="1335"/>
      <c r="Y16" s="376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762"/>
      <c r="Q17" s="1334"/>
      <c r="R17" s="631"/>
      <c r="S17" s="632"/>
      <c r="T17" s="631"/>
      <c r="U17" s="632"/>
      <c r="V17" s="631"/>
      <c r="W17" s="632"/>
      <c r="X17" s="1335"/>
      <c r="Y17" s="3762"/>
      <c r="Z17" s="1336"/>
      <c r="AA17" s="1337">
        <v>1</v>
      </c>
      <c r="AB17" s="1337">
        <v>1</v>
      </c>
      <c r="AC17" s="1337">
        <v>1</v>
      </c>
    </row>
    <row r="18" spans="1:29" ht="15">
      <c r="A18" s="297"/>
      <c r="B18" s="515" t="s">
        <v>2385</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762"/>
      <c r="Q18" s="1334" t="str">
        <f>B18</f>
        <v>基础设施水平</v>
      </c>
      <c r="R18" s="631" t="s">
        <v>25</v>
      </c>
      <c r="S18" s="632">
        <f>F18</f>
        <v>100</v>
      </c>
      <c r="T18" s="631" t="s">
        <v>25</v>
      </c>
      <c r="U18" s="632">
        <f>H18</f>
        <v>100</v>
      </c>
      <c r="V18" s="631" t="s">
        <v>25</v>
      </c>
      <c r="W18" s="632">
        <f>J18</f>
        <v>100</v>
      </c>
      <c r="X18" s="1335"/>
      <c r="Y18" s="376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762"/>
      <c r="Q19" s="1334"/>
      <c r="R19" s="631"/>
      <c r="S19" s="632"/>
      <c r="T19" s="631"/>
      <c r="U19" s="632"/>
      <c r="V19" s="631"/>
      <c r="W19" s="632"/>
      <c r="X19" s="1335"/>
      <c r="Y19" s="3762"/>
      <c r="Z19" s="1336"/>
      <c r="AA19" s="1337">
        <v>1</v>
      </c>
      <c r="AB19" s="1337">
        <v>1</v>
      </c>
      <c r="AC19" s="1337">
        <v>1</v>
      </c>
    </row>
    <row r="20" spans="1:29" ht="128.25">
      <c r="A20" s="297"/>
      <c r="B20" s="513" t="s">
        <v>2407</v>
      </c>
      <c r="C20" s="1145" t="str">
        <f>IF(B1="工业",估价对象房地状况!G7,估价对象房地状况!C9)</f>
        <v>区域自然环境：惠水湾森林公园（2019）、百子湾绿地公园（2019）；人文环境：北京政法职业学院(杨闸校区)；综合评价环境状况较好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762"/>
      <c r="Q20" s="1334" t="str">
        <f>B20</f>
        <v>自然及人文环境</v>
      </c>
      <c r="R20" s="631" t="s">
        <v>25</v>
      </c>
      <c r="S20" s="632">
        <f>F20</f>
        <v>100</v>
      </c>
      <c r="T20" s="631" t="s">
        <v>25</v>
      </c>
      <c r="U20" s="632">
        <f>H20</f>
        <v>100</v>
      </c>
      <c r="V20" s="631" t="s">
        <v>25</v>
      </c>
      <c r="W20" s="632">
        <f>J20</f>
        <v>100</v>
      </c>
      <c r="X20" s="1335"/>
      <c r="Y20" s="376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762"/>
      <c r="Q21" s="1334"/>
      <c r="R21" s="631"/>
      <c r="S21" s="632"/>
      <c r="T21" s="631"/>
      <c r="U21" s="632"/>
      <c r="V21" s="631"/>
      <c r="W21" s="632"/>
      <c r="X21" s="1335"/>
      <c r="Y21" s="3762"/>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762"/>
      <c r="Q22" s="1334" t="str">
        <f>B22</f>
        <v>楼层</v>
      </c>
      <c r="R22" s="631" t="s">
        <v>25</v>
      </c>
      <c r="S22" s="632">
        <f>F22</f>
        <v>100</v>
      </c>
      <c r="T22" s="631" t="s">
        <v>25</v>
      </c>
      <c r="U22" s="632">
        <f>H22</f>
        <v>100</v>
      </c>
      <c r="V22" s="631" t="s">
        <v>25</v>
      </c>
      <c r="W22" s="632">
        <f>J22</f>
        <v>100</v>
      </c>
      <c r="X22" s="1335"/>
      <c r="Y22" s="376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762"/>
      <c r="Q23" s="1334">
        <f>B23</f>
        <v>111</v>
      </c>
      <c r="R23" s="631" t="s">
        <v>25</v>
      </c>
      <c r="S23" s="632">
        <f>F23</f>
        <v>100</v>
      </c>
      <c r="T23" s="631" t="s">
        <v>25</v>
      </c>
      <c r="U23" s="632">
        <f>H23</f>
        <v>100</v>
      </c>
      <c r="V23" s="631" t="s">
        <v>25</v>
      </c>
      <c r="W23" s="632">
        <f>J23</f>
        <v>100</v>
      </c>
      <c r="X23" s="1335"/>
      <c r="Y23" s="376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762"/>
      <c r="Q24" s="1334">
        <f t="shared" ref="Q24:Q36" si="11">B24</f>
        <v>111</v>
      </c>
      <c r="R24" s="631" t="s">
        <v>25</v>
      </c>
      <c r="S24" s="632">
        <f>F24</f>
        <v>100</v>
      </c>
      <c r="T24" s="631" t="s">
        <v>25</v>
      </c>
      <c r="U24" s="632">
        <f>H24</f>
        <v>100</v>
      </c>
      <c r="V24" s="631" t="s">
        <v>25</v>
      </c>
      <c r="W24" s="632">
        <f>J24</f>
        <v>100</v>
      </c>
      <c r="X24" s="1335"/>
      <c r="Y24" s="376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762"/>
      <c r="Q25" s="1327">
        <f t="shared" si="11"/>
        <v>111</v>
      </c>
      <c r="R25" s="627" t="s">
        <v>25</v>
      </c>
      <c r="S25" s="628">
        <f>F25</f>
        <v>100</v>
      </c>
      <c r="T25" s="627" t="s">
        <v>25</v>
      </c>
      <c r="U25" s="628">
        <f>H25</f>
        <v>100</v>
      </c>
      <c r="V25" s="627" t="s">
        <v>25</v>
      </c>
      <c r="W25" s="628">
        <f>J25</f>
        <v>100</v>
      </c>
      <c r="X25" s="629"/>
      <c r="Y25" s="3762"/>
      <c r="Z25" s="19">
        <f>Q25</f>
        <v>111</v>
      </c>
      <c r="AA25" s="1337">
        <f>D25/F25</f>
        <v>1</v>
      </c>
      <c r="AB25" s="1337">
        <f>D25/H25</f>
        <v>1</v>
      </c>
      <c r="AC25" s="1337">
        <f>D25/J25</f>
        <v>1</v>
      </c>
    </row>
    <row r="26" spans="1:29" ht="28.5">
      <c r="A26" s="533" t="s">
        <v>2273</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749"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750"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750"/>
      <c r="Q27" s="633" t="str">
        <f t="shared" si="11"/>
        <v>项目停车位配比</v>
      </c>
      <c r="R27" s="634" t="s">
        <v>25</v>
      </c>
      <c r="S27" s="635">
        <f t="shared" si="12"/>
        <v>100</v>
      </c>
      <c r="T27" s="634" t="s">
        <v>25</v>
      </c>
      <c r="U27" s="635">
        <f t="shared" si="13"/>
        <v>100</v>
      </c>
      <c r="V27" s="634" t="s">
        <v>25</v>
      </c>
      <c r="W27" s="635">
        <f t="shared" si="14"/>
        <v>100</v>
      </c>
      <c r="X27" s="636"/>
      <c r="Y27" s="3750"/>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750"/>
      <c r="Q28" s="1334" t="str">
        <f t="shared" si="11"/>
        <v>公共部分装修</v>
      </c>
      <c r="R28" s="631" t="s">
        <v>25</v>
      </c>
      <c r="S28" s="632">
        <f t="shared" si="12"/>
        <v>100</v>
      </c>
      <c r="T28" s="631" t="s">
        <v>25</v>
      </c>
      <c r="U28" s="632">
        <f t="shared" si="13"/>
        <v>100</v>
      </c>
      <c r="V28" s="631" t="s">
        <v>25</v>
      </c>
      <c r="W28" s="632">
        <f t="shared" si="14"/>
        <v>100</v>
      </c>
      <c r="X28" s="1335"/>
      <c r="Y28" s="3750"/>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750"/>
      <c r="Q29" s="1334" t="str">
        <f t="shared" si="11"/>
        <v>成新率</v>
      </c>
      <c r="R29" s="631" t="s">
        <v>25</v>
      </c>
      <c r="S29" s="632" t="e">
        <f t="shared" si="12"/>
        <v>#N/A</v>
      </c>
      <c r="T29" s="631" t="s">
        <v>25</v>
      </c>
      <c r="U29" s="632" t="e">
        <f t="shared" si="13"/>
        <v>#N/A</v>
      </c>
      <c r="V29" s="631" t="s">
        <v>25</v>
      </c>
      <c r="W29" s="632" t="e">
        <f t="shared" si="14"/>
        <v>#N/A</v>
      </c>
      <c r="X29" s="1335"/>
      <c r="Y29" s="3750"/>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750"/>
      <c r="Q30" s="1334" t="str">
        <f t="shared" si="11"/>
        <v>物业等级</v>
      </c>
      <c r="R30" s="631" t="s">
        <v>25</v>
      </c>
      <c r="S30" s="632">
        <f t="shared" si="12"/>
        <v>100</v>
      </c>
      <c r="T30" s="631" t="s">
        <v>25</v>
      </c>
      <c r="U30" s="632">
        <f t="shared" si="13"/>
        <v>100</v>
      </c>
      <c r="V30" s="631" t="s">
        <v>25</v>
      </c>
      <c r="W30" s="632">
        <f t="shared" si="14"/>
        <v>100</v>
      </c>
      <c r="X30" s="1335"/>
      <c r="Y30" s="3750"/>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750"/>
      <c r="Q31" s="1327" t="str">
        <f t="shared" si="11"/>
        <v>停车位面积</v>
      </c>
      <c r="R31" s="627" t="s">
        <v>25</v>
      </c>
      <c r="S31" s="628" t="e">
        <f t="shared" si="12"/>
        <v>#N/A</v>
      </c>
      <c r="T31" s="627" t="s">
        <v>25</v>
      </c>
      <c r="U31" s="628" t="e">
        <f t="shared" si="13"/>
        <v>#N/A</v>
      </c>
      <c r="V31" s="627" t="s">
        <v>25</v>
      </c>
      <c r="W31" s="628" t="e">
        <f t="shared" si="14"/>
        <v>#N/A</v>
      </c>
      <c r="X31" s="629"/>
      <c r="Y31" s="3750"/>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750" t="s">
        <v>2275</v>
      </c>
      <c r="Q32" s="1334" t="str">
        <f t="shared" si="11"/>
        <v>车位类型</v>
      </c>
      <c r="R32" s="631" t="s">
        <v>25</v>
      </c>
      <c r="S32" s="632">
        <f t="shared" si="12"/>
        <v>100</v>
      </c>
      <c r="T32" s="631" t="s">
        <v>25</v>
      </c>
      <c r="U32" s="632">
        <f t="shared" si="13"/>
        <v>100</v>
      </c>
      <c r="V32" s="631" t="s">
        <v>25</v>
      </c>
      <c r="W32" s="632">
        <f t="shared" si="14"/>
        <v>100</v>
      </c>
      <c r="X32" s="1335"/>
      <c r="Y32" s="3750"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750"/>
      <c r="Q33" s="1334" t="str">
        <f t="shared" si="11"/>
        <v>是否直接入户</v>
      </c>
      <c r="R33" s="631" t="s">
        <v>25</v>
      </c>
      <c r="S33" s="632">
        <f t="shared" si="12"/>
        <v>100</v>
      </c>
      <c r="T33" s="631" t="s">
        <v>25</v>
      </c>
      <c r="U33" s="632">
        <f t="shared" si="13"/>
        <v>100</v>
      </c>
      <c r="V33" s="631" t="s">
        <v>25</v>
      </c>
      <c r="W33" s="632">
        <f t="shared" si="14"/>
        <v>100</v>
      </c>
      <c r="X33" s="1335"/>
      <c r="Y33" s="375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750"/>
      <c r="Q34" s="1334">
        <f t="shared" si="11"/>
        <v>111</v>
      </c>
      <c r="R34" s="631" t="s">
        <v>25</v>
      </c>
      <c r="S34" s="632">
        <f t="shared" si="12"/>
        <v>100</v>
      </c>
      <c r="T34" s="631" t="s">
        <v>25</v>
      </c>
      <c r="U34" s="632">
        <f t="shared" si="13"/>
        <v>100</v>
      </c>
      <c r="V34" s="631" t="s">
        <v>25</v>
      </c>
      <c r="W34" s="632">
        <f t="shared" si="14"/>
        <v>100</v>
      </c>
      <c r="X34" s="1335"/>
      <c r="Y34" s="375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750"/>
      <c r="Q35" s="633">
        <f t="shared" si="11"/>
        <v>111</v>
      </c>
      <c r="R35" s="634" t="s">
        <v>25</v>
      </c>
      <c r="S35" s="635">
        <f t="shared" si="12"/>
        <v>100</v>
      </c>
      <c r="T35" s="634" t="s">
        <v>25</v>
      </c>
      <c r="U35" s="635">
        <f t="shared" si="13"/>
        <v>100</v>
      </c>
      <c r="V35" s="634" t="s">
        <v>25</v>
      </c>
      <c r="W35" s="635">
        <f t="shared" si="14"/>
        <v>100</v>
      </c>
      <c r="X35" s="636"/>
      <c r="Y35" s="375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750"/>
      <c r="Q36" s="1334">
        <f t="shared" si="11"/>
        <v>111</v>
      </c>
      <c r="R36" s="631" t="s">
        <v>25</v>
      </c>
      <c r="S36" s="632">
        <f t="shared" si="12"/>
        <v>100</v>
      </c>
      <c r="T36" s="631" t="s">
        <v>25</v>
      </c>
      <c r="U36" s="632">
        <f t="shared" si="13"/>
        <v>100</v>
      </c>
      <c r="V36" s="631" t="s">
        <v>25</v>
      </c>
      <c r="W36" s="632">
        <f t="shared" si="14"/>
        <v>100</v>
      </c>
      <c r="X36" s="1335"/>
      <c r="Y36" s="3750"/>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5"/>
      <c r="N37" s="3024"/>
      <c r="P37" s="3744" t="str">
        <f>A37</f>
        <v>成交单价</v>
      </c>
      <c r="Q37" s="3744"/>
      <c r="R37" s="3745">
        <f>E37</f>
        <v>0</v>
      </c>
      <c r="S37" s="3745"/>
      <c r="T37" s="3745">
        <f>G37</f>
        <v>0</v>
      </c>
      <c r="U37" s="3745"/>
      <c r="V37" s="3745">
        <f>I37</f>
        <v>0</v>
      </c>
      <c r="W37" s="3745"/>
      <c r="X37" s="618"/>
      <c r="Y37" s="638"/>
      <c r="Z37" s="618"/>
      <c r="AA37" s="618"/>
      <c r="AB37" s="618"/>
      <c r="AC37" s="618"/>
    </row>
    <row r="38" spans="1:29" ht="15.75" thickBot="1">
      <c r="A38" s="374" t="s">
        <v>2419</v>
      </c>
      <c r="B38" s="375" t="str">
        <f>B37</f>
        <v>元/平方米</v>
      </c>
      <c r="C38" s="1159" t="e">
        <f>R39</f>
        <v>#DIV/0!</v>
      </c>
      <c r="D38" s="1795" t="s">
        <v>2744</v>
      </c>
      <c r="E38" s="1160" t="e">
        <f>R38</f>
        <v>#DIV/0!</v>
      </c>
      <c r="F38" s="1797"/>
      <c r="G38" s="1159" t="e">
        <f>T38</f>
        <v>#DIV/0!</v>
      </c>
      <c r="H38" s="1797"/>
      <c r="I38" s="1160" t="e">
        <f>V38</f>
        <v>#DIV/0!</v>
      </c>
      <c r="J38" s="1797"/>
      <c r="K38" s="2509">
        <f>F38+H38+J38</f>
        <v>0</v>
      </c>
      <c r="L38" s="3035"/>
      <c r="P38" s="3744" t="str">
        <f>A38</f>
        <v>比较价值</v>
      </c>
      <c r="Q38" s="3744"/>
      <c r="R38" s="3745" t="e">
        <f>IF(E1="售价",ROUND(PRODUCT(R37,AA7:AA36),0),ROUND(PRODUCT(R37,AA7:AA36),1))</f>
        <v>#DIV/0!</v>
      </c>
      <c r="S38" s="3745"/>
      <c r="T38" s="3745" t="e">
        <f>IF(E1="售价",ROUND(PRODUCT(T37,AB7:AB36),0),ROUND(PRODUCT(T37,AB7:AB36),1))</f>
        <v>#DIV/0!</v>
      </c>
      <c r="U38" s="3745"/>
      <c r="V38" s="3745" t="e">
        <f>IF(E1="售价",ROUND(PRODUCT(V37,AC7:AC36),0),ROUND(PRODUCT(V37,AC7:AC36),1))</f>
        <v>#DIV/0!</v>
      </c>
      <c r="W38" s="3745"/>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5"/>
      <c r="P39" s="3746" t="str">
        <f>A39</f>
        <v>估价对象XX用房的比较价值（楼面单价，元/平方米）</v>
      </c>
      <c r="Q39" s="3747"/>
      <c r="R39" s="3748" t="e">
        <f>IF(E1="售价",ROUND(IF(D38="简单平均",AVERAGE(R38:W38),R38*F38+T38*H38+V38*J38),0),ROUND(IF(D38="简单平均",AVERAGE(R38:V38),R38*F38+T38*H38+V38*J38),1))</f>
        <v>#DIV/0!</v>
      </c>
      <c r="S39" s="3748"/>
      <c r="T39" s="3748"/>
      <c r="U39" s="3748"/>
      <c r="V39" s="3748"/>
      <c r="W39" s="3748"/>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2009-7</v>
      </c>
      <c r="D48" s="1188">
        <f>EDATE(C48,-1)</f>
        <v>39965</v>
      </c>
      <c r="E48" s="1188">
        <f t="shared" ref="E48:O48" si="16">EDATE(D48,-1)</f>
        <v>39934</v>
      </c>
      <c r="F48" s="1188">
        <f t="shared" si="16"/>
        <v>39904</v>
      </c>
      <c r="G48" s="1188">
        <f t="shared" si="16"/>
        <v>39873</v>
      </c>
      <c r="H48" s="1188">
        <f t="shared" si="16"/>
        <v>39845</v>
      </c>
      <c r="I48" s="1188">
        <f t="shared" si="16"/>
        <v>39814</v>
      </c>
      <c r="J48" s="1188">
        <f t="shared" si="16"/>
        <v>39783</v>
      </c>
      <c r="K48" s="1188">
        <f t="shared" si="16"/>
        <v>39753</v>
      </c>
      <c r="L48" s="1188">
        <f t="shared" si="16"/>
        <v>39722</v>
      </c>
      <c r="M48" s="1188">
        <f t="shared" si="16"/>
        <v>39692</v>
      </c>
      <c r="N48" s="1188">
        <f t="shared" si="16"/>
        <v>39661</v>
      </c>
      <c r="O48" s="1188">
        <f t="shared" si="16"/>
        <v>39630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64.19</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767" t="s">
        <v>2246</v>
      </c>
      <c r="D4" s="3768"/>
      <c r="E4" s="3769" t="s">
        <v>2247</v>
      </c>
      <c r="F4" s="3770"/>
      <c r="G4" s="3767" t="s">
        <v>2248</v>
      </c>
      <c r="H4" s="3768"/>
      <c r="I4" s="3767" t="s">
        <v>2249</v>
      </c>
      <c r="J4" s="3768"/>
      <c r="K4" s="496" t="s">
        <v>2250</v>
      </c>
      <c r="L4" s="3023"/>
      <c r="M4" s="3024"/>
      <c r="N4" s="3024"/>
      <c r="O4" s="3024"/>
      <c r="P4" s="3771" t="s">
        <v>2251</v>
      </c>
      <c r="Q4" s="3772"/>
      <c r="R4" s="3754" t="s">
        <v>2247</v>
      </c>
      <c r="S4" s="3755"/>
      <c r="T4" s="3754" t="s">
        <v>2248</v>
      </c>
      <c r="U4" s="3755"/>
      <c r="V4" s="3777" t="s">
        <v>2249</v>
      </c>
      <c r="W4" s="3777"/>
      <c r="X4" s="1335"/>
      <c r="Y4" s="3754" t="s">
        <v>2251</v>
      </c>
      <c r="Z4" s="3755"/>
      <c r="AA4" s="3764" t="s">
        <v>2247</v>
      </c>
      <c r="AB4" s="3765" t="s">
        <v>2248</v>
      </c>
      <c r="AC4" s="3764" t="s">
        <v>2249</v>
      </c>
    </row>
    <row r="5" spans="1:29" ht="15">
      <c r="A5" s="297"/>
      <c r="B5" s="298"/>
      <c r="C5" s="3780" t="s">
        <v>2252</v>
      </c>
      <c r="D5" s="3781"/>
      <c r="E5" s="3778" t="s">
        <v>2253</v>
      </c>
      <c r="F5" s="3779"/>
      <c r="G5" s="3780" t="s">
        <v>2254</v>
      </c>
      <c r="H5" s="3781"/>
      <c r="I5" s="3780" t="s">
        <v>2255</v>
      </c>
      <c r="J5" s="3781"/>
      <c r="K5" s="496"/>
      <c r="L5" s="3023"/>
      <c r="M5" s="3024"/>
      <c r="N5" s="3024"/>
      <c r="O5" s="3024"/>
      <c r="P5" s="3773"/>
      <c r="Q5" s="3774"/>
      <c r="R5" s="3756"/>
      <c r="S5" s="3757"/>
      <c r="T5" s="3756"/>
      <c r="U5" s="3757"/>
      <c r="V5" s="3777"/>
      <c r="W5" s="3777"/>
      <c r="X5" s="1335"/>
      <c r="Y5" s="3756"/>
      <c r="Z5" s="3757"/>
      <c r="AA5" s="3765"/>
      <c r="AB5" s="3765"/>
      <c r="AC5" s="3765"/>
    </row>
    <row r="6" spans="1:29" ht="15.75" thickBot="1">
      <c r="A6" s="299"/>
      <c r="B6" s="300"/>
      <c r="C6" s="3782" t="s">
        <v>2256</v>
      </c>
      <c r="D6" s="3783"/>
      <c r="E6" s="3784" t="s">
        <v>2256</v>
      </c>
      <c r="F6" s="3785"/>
      <c r="G6" s="3782" t="s">
        <v>2256</v>
      </c>
      <c r="H6" s="3783"/>
      <c r="I6" s="3782" t="s">
        <v>2256</v>
      </c>
      <c r="J6" s="3783"/>
      <c r="K6" s="496" t="s">
        <v>2257</v>
      </c>
      <c r="L6" s="3023"/>
      <c r="M6" s="3024"/>
      <c r="N6" s="3024"/>
      <c r="O6" s="3024"/>
      <c r="P6" s="3775"/>
      <c r="Q6" s="3776"/>
      <c r="R6" s="3756"/>
      <c r="S6" s="3757"/>
      <c r="T6" s="3758"/>
      <c r="U6" s="3759"/>
      <c r="V6" s="3777"/>
      <c r="W6" s="3777"/>
      <c r="X6" s="1335"/>
      <c r="Y6" s="3758"/>
      <c r="Z6" s="3759"/>
      <c r="AA6" s="3766"/>
      <c r="AB6" s="3766"/>
      <c r="AC6" s="3766"/>
    </row>
    <row r="7" spans="1:29" s="25" customFormat="1" ht="15.75" thickBot="1">
      <c r="A7" s="301" t="s">
        <v>2258</v>
      </c>
      <c r="B7" s="302"/>
      <c r="C7" s="303">
        <f>'数据-取费表'!B2</f>
        <v>40002</v>
      </c>
      <c r="D7" s="304">
        <v>100</v>
      </c>
      <c r="E7" s="1575"/>
      <c r="F7" s="304">
        <f>SUMIF(46:46,YEAR(E7)&amp;"-"&amp;MONTH(E7),47:47)</f>
        <v>0</v>
      </c>
      <c r="G7" s="305"/>
      <c r="H7" s="304">
        <f>SUMIF(46:46,YEAR(G7)&amp;"-"&amp;MONTH(G7),47:47)</f>
        <v>0</v>
      </c>
      <c r="I7" s="305"/>
      <c r="J7" s="304">
        <f>SUMIF(46:46,YEAR(I7)&amp;"-"&amp;MONTH(I7),47:47)</f>
        <v>0</v>
      </c>
      <c r="K7" s="497"/>
      <c r="L7" s="3025"/>
      <c r="M7" s="3026"/>
      <c r="N7" s="3026"/>
      <c r="O7" s="3026"/>
      <c r="P7" s="3752" t="s">
        <v>2259</v>
      </c>
      <c r="Q7" s="3760"/>
      <c r="R7" s="627" t="s">
        <v>25</v>
      </c>
      <c r="S7" s="628">
        <f t="shared" ref="S7:S14" si="0">F7</f>
        <v>0</v>
      </c>
      <c r="T7" s="627" t="s">
        <v>25</v>
      </c>
      <c r="U7" s="628">
        <f t="shared" ref="U7:U14" si="1">H7</f>
        <v>0</v>
      </c>
      <c r="V7" s="627" t="s">
        <v>25</v>
      </c>
      <c r="W7" s="628">
        <f t="shared" ref="W7:W14" si="2">J7</f>
        <v>0</v>
      </c>
      <c r="X7" s="629"/>
      <c r="Y7" s="3752" t="s">
        <v>2259</v>
      </c>
      <c r="Z7" s="3753"/>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752" t="s">
        <v>2262</v>
      </c>
      <c r="Q8" s="3753"/>
      <c r="R8" s="627" t="s">
        <v>25</v>
      </c>
      <c r="S8" s="628">
        <f t="shared" si="0"/>
        <v>0</v>
      </c>
      <c r="T8" s="627" t="s">
        <v>25</v>
      </c>
      <c r="U8" s="628">
        <f t="shared" si="1"/>
        <v>0</v>
      </c>
      <c r="V8" s="627" t="s">
        <v>25</v>
      </c>
      <c r="W8" s="628">
        <f t="shared" si="2"/>
        <v>0</v>
      </c>
      <c r="X8" s="629"/>
      <c r="Y8" s="3752" t="s">
        <v>2262</v>
      </c>
      <c r="Z8" s="3753"/>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744" t="s">
        <v>2265</v>
      </c>
      <c r="Q9" s="1327" t="str">
        <f t="shared" ref="Q9:Q14" si="6">B9</f>
        <v>用途</v>
      </c>
      <c r="R9" s="627" t="s">
        <v>25</v>
      </c>
      <c r="S9" s="628">
        <f t="shared" si="0"/>
        <v>100</v>
      </c>
      <c r="T9" s="627" t="s">
        <v>25</v>
      </c>
      <c r="U9" s="628">
        <f t="shared" si="1"/>
        <v>100</v>
      </c>
      <c r="V9" s="627" t="s">
        <v>25</v>
      </c>
      <c r="W9" s="628">
        <f t="shared" si="2"/>
        <v>100</v>
      </c>
      <c r="X9" s="629"/>
      <c r="Y9" s="3763"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744"/>
      <c r="Q10" s="1327" t="str">
        <f t="shared" si="6"/>
        <v>土地使用年限（年）</v>
      </c>
      <c r="R10" s="627" t="s">
        <v>25</v>
      </c>
      <c r="S10" s="628">
        <f t="shared" si="0"/>
        <v>100</v>
      </c>
      <c r="T10" s="627" t="s">
        <v>25</v>
      </c>
      <c r="U10" s="628">
        <f t="shared" si="1"/>
        <v>100</v>
      </c>
      <c r="V10" s="627" t="s">
        <v>25</v>
      </c>
      <c r="W10" s="628">
        <f t="shared" si="2"/>
        <v>100</v>
      </c>
      <c r="X10" s="629"/>
      <c r="Y10" s="376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744"/>
      <c r="Q11" s="1327">
        <f t="shared" si="6"/>
        <v>111</v>
      </c>
      <c r="R11" s="627" t="s">
        <v>25</v>
      </c>
      <c r="S11" s="628">
        <f t="shared" si="0"/>
        <v>100</v>
      </c>
      <c r="T11" s="627" t="s">
        <v>25</v>
      </c>
      <c r="U11" s="628">
        <f t="shared" si="1"/>
        <v>100</v>
      </c>
      <c r="V11" s="627" t="s">
        <v>25</v>
      </c>
      <c r="W11" s="628">
        <f t="shared" si="2"/>
        <v>100</v>
      </c>
      <c r="X11" s="629"/>
      <c r="Y11" s="376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744"/>
      <c r="Q12" s="1327">
        <f t="shared" si="6"/>
        <v>111</v>
      </c>
      <c r="R12" s="627" t="s">
        <v>25</v>
      </c>
      <c r="S12" s="628">
        <f t="shared" si="0"/>
        <v>100</v>
      </c>
      <c r="T12" s="627" t="s">
        <v>25</v>
      </c>
      <c r="U12" s="628">
        <f t="shared" si="1"/>
        <v>100</v>
      </c>
      <c r="V12" s="627" t="s">
        <v>25</v>
      </c>
      <c r="W12" s="628">
        <f t="shared" si="2"/>
        <v>100</v>
      </c>
      <c r="X12" s="629"/>
      <c r="Y12" s="376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744"/>
      <c r="Q13" s="1327">
        <f t="shared" si="6"/>
        <v>111</v>
      </c>
      <c r="R13" s="627" t="s">
        <v>25</v>
      </c>
      <c r="S13" s="628">
        <f t="shared" si="0"/>
        <v>100</v>
      </c>
      <c r="T13" s="627" t="s">
        <v>25</v>
      </c>
      <c r="U13" s="628">
        <f t="shared" si="1"/>
        <v>100</v>
      </c>
      <c r="V13" s="627" t="s">
        <v>25</v>
      </c>
      <c r="W13" s="628">
        <f t="shared" si="2"/>
        <v>100</v>
      </c>
      <c r="X13" s="629"/>
      <c r="Y13" s="3763"/>
      <c r="Z13" s="19">
        <f t="shared" si="7"/>
        <v>111</v>
      </c>
      <c r="AA13" s="630">
        <f t="shared" si="3"/>
        <v>1</v>
      </c>
      <c r="AB13" s="630">
        <f t="shared" si="4"/>
        <v>1</v>
      </c>
      <c r="AC13" s="630">
        <f t="shared" si="5"/>
        <v>1</v>
      </c>
    </row>
    <row r="14" spans="1:29" ht="142.5">
      <c r="A14" s="329" t="s">
        <v>2269</v>
      </c>
      <c r="B14" s="22" t="s">
        <v>2406</v>
      </c>
      <c r="C14" s="1581" t="str">
        <f>IF(B1="工业",估价对象房地状况!G4,估价对象房地状况!C6)</f>
        <v>距地铁1号线四惠站（换乘站）约1000米（2003），距地铁7号线百子湾站约1.5公里（2014），周边有多条公交线路通过，交通便捷度较好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761" t="s">
        <v>2270</v>
      </c>
      <c r="Q14" s="1334" t="str">
        <f t="shared" si="6"/>
        <v>交通便捷度</v>
      </c>
      <c r="R14" s="631" t="s">
        <v>25</v>
      </c>
      <c r="S14" s="632">
        <f t="shared" si="0"/>
        <v>100</v>
      </c>
      <c r="T14" s="631" t="s">
        <v>25</v>
      </c>
      <c r="U14" s="632">
        <f t="shared" si="1"/>
        <v>100</v>
      </c>
      <c r="V14" s="631" t="s">
        <v>25</v>
      </c>
      <c r="W14" s="632">
        <f t="shared" si="2"/>
        <v>100</v>
      </c>
      <c r="X14" s="1335"/>
      <c r="Y14" s="3761"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762"/>
      <c r="Q15" s="1334"/>
      <c r="R15" s="631"/>
      <c r="S15" s="632"/>
      <c r="T15" s="631"/>
      <c r="U15" s="632"/>
      <c r="V15" s="631"/>
      <c r="W15" s="632"/>
      <c r="X15" s="1335"/>
      <c r="Y15" s="3762"/>
      <c r="Z15" s="1336"/>
      <c r="AA15" s="1337">
        <v>1</v>
      </c>
      <c r="AB15" s="1337">
        <v>1</v>
      </c>
      <c r="AC15" s="1337">
        <v>1</v>
      </c>
    </row>
    <row r="16" spans="1:29" ht="199.5">
      <c r="A16" s="318"/>
      <c r="B16" s="513" t="s">
        <v>2384</v>
      </c>
      <c r="C16" s="1567" t="str">
        <f>IF(B1="工业",估价对象房地状况!G5,估价对象房地状况!C7)</f>
        <v>华堂商场（十里堡店）、北京四惠中医医院（2016）、北京市朝阳区日坛小学（1962）、垂杨柳第四小学（1971）、北京市第十七中学（百子湾校区）（1946）、北京市日坛中学（四惠校区）（2015）</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762"/>
      <c r="Q16" s="1334" t="str">
        <f>B16</f>
        <v>公共配套设施</v>
      </c>
      <c r="R16" s="631" t="s">
        <v>25</v>
      </c>
      <c r="S16" s="632">
        <f>F16</f>
        <v>100</v>
      </c>
      <c r="T16" s="631" t="s">
        <v>25</v>
      </c>
      <c r="U16" s="632">
        <f>H16</f>
        <v>100</v>
      </c>
      <c r="V16" s="631" t="s">
        <v>25</v>
      </c>
      <c r="W16" s="632">
        <f>J16</f>
        <v>100</v>
      </c>
      <c r="X16" s="1335"/>
      <c r="Y16" s="376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762"/>
      <c r="Q17" s="1334"/>
      <c r="R17" s="631"/>
      <c r="S17" s="632"/>
      <c r="T17" s="631"/>
      <c r="U17" s="632"/>
      <c r="V17" s="631"/>
      <c r="W17" s="632"/>
      <c r="X17" s="1335"/>
      <c r="Y17" s="3762"/>
      <c r="Z17" s="1336"/>
      <c r="AA17" s="1337">
        <v>1</v>
      </c>
      <c r="AB17" s="1337">
        <v>1</v>
      </c>
      <c r="AC17" s="1337">
        <v>1</v>
      </c>
    </row>
    <row r="18" spans="1:29" ht="15">
      <c r="A18" s="318"/>
      <c r="B18" s="515" t="s">
        <v>2385</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762"/>
      <c r="Q18" s="1334" t="str">
        <f>B18</f>
        <v>基础设施水平</v>
      </c>
      <c r="R18" s="631" t="s">
        <v>25</v>
      </c>
      <c r="S18" s="632">
        <f>F18</f>
        <v>100</v>
      </c>
      <c r="T18" s="631" t="s">
        <v>25</v>
      </c>
      <c r="U18" s="632">
        <f>H18</f>
        <v>100</v>
      </c>
      <c r="V18" s="631" t="s">
        <v>25</v>
      </c>
      <c r="W18" s="632">
        <f>J18</f>
        <v>100</v>
      </c>
      <c r="X18" s="1335"/>
      <c r="Y18" s="376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762"/>
      <c r="Q19" s="1334"/>
      <c r="R19" s="631"/>
      <c r="S19" s="632"/>
      <c r="T19" s="631"/>
      <c r="U19" s="632"/>
      <c r="V19" s="631"/>
      <c r="W19" s="632"/>
      <c r="X19" s="1335"/>
      <c r="Y19" s="3762"/>
      <c r="Z19" s="1336"/>
      <c r="AA19" s="1337">
        <v>1</v>
      </c>
      <c r="AB19" s="1337">
        <v>1</v>
      </c>
      <c r="AC19" s="1337">
        <v>1</v>
      </c>
    </row>
    <row r="20" spans="1:29" ht="128.25">
      <c r="A20" s="318"/>
      <c r="B20" s="340" t="s">
        <v>2407</v>
      </c>
      <c r="C20" s="1567" t="str">
        <f>IF(B1="工业",估价对象房地状况!G7,估价对象房地状况!C9)</f>
        <v>区域自然环境：惠水湾森林公园（2019）、百子湾绿地公园（2019）；人文环境：北京政法职业学院(杨闸校区)；综合评价环境状况较好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762"/>
      <c r="Q20" s="1334" t="str">
        <f>B20</f>
        <v>自然及人文环境</v>
      </c>
      <c r="R20" s="631" t="s">
        <v>25</v>
      </c>
      <c r="S20" s="632">
        <f>F20</f>
        <v>100</v>
      </c>
      <c r="T20" s="631" t="s">
        <v>25</v>
      </c>
      <c r="U20" s="632">
        <f>H20</f>
        <v>100</v>
      </c>
      <c r="V20" s="631" t="s">
        <v>25</v>
      </c>
      <c r="W20" s="632">
        <f>J20</f>
        <v>100</v>
      </c>
      <c r="X20" s="1335"/>
      <c r="Y20" s="376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762"/>
      <c r="Q21" s="1334"/>
      <c r="R21" s="631"/>
      <c r="S21" s="632"/>
      <c r="T21" s="631"/>
      <c r="U21" s="632"/>
      <c r="V21" s="631"/>
      <c r="W21" s="632"/>
      <c r="X21" s="1335"/>
      <c r="Y21" s="3762"/>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762"/>
      <c r="Q22" s="1334" t="str">
        <f>B22</f>
        <v>楼层</v>
      </c>
      <c r="R22" s="631" t="s">
        <v>25</v>
      </c>
      <c r="S22" s="632">
        <f>F22</f>
        <v>100</v>
      </c>
      <c r="T22" s="631" t="s">
        <v>25</v>
      </c>
      <c r="U22" s="632">
        <f>H22</f>
        <v>100</v>
      </c>
      <c r="V22" s="631" t="s">
        <v>25</v>
      </c>
      <c r="W22" s="632">
        <f>J22</f>
        <v>100</v>
      </c>
      <c r="X22" s="1335"/>
      <c r="Y22" s="376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762"/>
      <c r="Q23" s="1334">
        <f>B23</f>
        <v>111</v>
      </c>
      <c r="R23" s="631" t="s">
        <v>25</v>
      </c>
      <c r="S23" s="632">
        <f>F23</f>
        <v>100</v>
      </c>
      <c r="T23" s="631" t="s">
        <v>25</v>
      </c>
      <c r="U23" s="632">
        <f>H23</f>
        <v>100</v>
      </c>
      <c r="V23" s="631" t="s">
        <v>25</v>
      </c>
      <c r="W23" s="632">
        <f>J23</f>
        <v>100</v>
      </c>
      <c r="X23" s="1335"/>
      <c r="Y23" s="376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762"/>
      <c r="Q24" s="1334">
        <f t="shared" ref="Q24:Q34" si="11">B24</f>
        <v>111</v>
      </c>
      <c r="R24" s="631" t="s">
        <v>25</v>
      </c>
      <c r="S24" s="632">
        <f>F24</f>
        <v>100</v>
      </c>
      <c r="T24" s="631" t="s">
        <v>25</v>
      </c>
      <c r="U24" s="632">
        <f>H24</f>
        <v>100</v>
      </c>
      <c r="V24" s="631" t="s">
        <v>25</v>
      </c>
      <c r="W24" s="632">
        <f>J24</f>
        <v>100</v>
      </c>
      <c r="X24" s="1335"/>
      <c r="Y24" s="376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5"/>
      <c r="M25" s="3026"/>
      <c r="N25" s="3026"/>
      <c r="O25" s="3027"/>
      <c r="P25" s="3762"/>
      <c r="Q25" s="1327">
        <f t="shared" si="11"/>
        <v>111</v>
      </c>
      <c r="R25" s="627" t="s">
        <v>25</v>
      </c>
      <c r="S25" s="628">
        <f>F25</f>
        <v>100</v>
      </c>
      <c r="T25" s="627" t="s">
        <v>25</v>
      </c>
      <c r="U25" s="628">
        <f>H25</f>
        <v>100</v>
      </c>
      <c r="V25" s="627" t="s">
        <v>25</v>
      </c>
      <c r="W25" s="628">
        <f>J25</f>
        <v>100</v>
      </c>
      <c r="X25" s="629"/>
      <c r="Y25" s="3762"/>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3"/>
      <c r="M26" s="3024"/>
      <c r="N26" s="3024"/>
      <c r="O26" s="3032"/>
      <c r="P26" s="3749"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750"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750"/>
      <c r="Q27" s="633" t="str">
        <f t="shared" si="11"/>
        <v>成新率</v>
      </c>
      <c r="R27" s="634" t="s">
        <v>25</v>
      </c>
      <c r="S27" s="635" t="e">
        <f t="shared" si="12"/>
        <v>#N/A</v>
      </c>
      <c r="T27" s="634" t="s">
        <v>25</v>
      </c>
      <c r="U27" s="635" t="e">
        <f t="shared" si="13"/>
        <v>#N/A</v>
      </c>
      <c r="V27" s="634" t="s">
        <v>25</v>
      </c>
      <c r="W27" s="635" t="e">
        <f t="shared" si="14"/>
        <v>#N/A</v>
      </c>
      <c r="X27" s="636"/>
      <c r="Y27" s="3750"/>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750"/>
      <c r="Q28" s="1334" t="str">
        <f t="shared" si="11"/>
        <v>物业等级</v>
      </c>
      <c r="R28" s="631" t="s">
        <v>25</v>
      </c>
      <c r="S28" s="632">
        <f t="shared" si="12"/>
        <v>100</v>
      </c>
      <c r="T28" s="631" t="s">
        <v>25</v>
      </c>
      <c r="U28" s="632">
        <f t="shared" si="13"/>
        <v>100</v>
      </c>
      <c r="V28" s="631" t="s">
        <v>25</v>
      </c>
      <c r="W28" s="632">
        <f t="shared" si="14"/>
        <v>100</v>
      </c>
      <c r="X28" s="1335"/>
      <c r="Y28" s="3750"/>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750"/>
      <c r="Q29" s="1334" t="str">
        <f t="shared" si="11"/>
        <v>有无电梯</v>
      </c>
      <c r="R29" s="631" t="s">
        <v>25</v>
      </c>
      <c r="S29" s="632">
        <f t="shared" si="12"/>
        <v>100</v>
      </c>
      <c r="T29" s="631" t="s">
        <v>25</v>
      </c>
      <c r="U29" s="632">
        <f t="shared" si="13"/>
        <v>100</v>
      </c>
      <c r="V29" s="631" t="s">
        <v>25</v>
      </c>
      <c r="W29" s="632">
        <f t="shared" si="14"/>
        <v>100</v>
      </c>
      <c r="X29" s="1335"/>
      <c r="Y29" s="3750"/>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750"/>
      <c r="Q30" s="1334" t="str">
        <f t="shared" si="11"/>
        <v>建筑面积</v>
      </c>
      <c r="R30" s="631" t="s">
        <v>25</v>
      </c>
      <c r="S30" s="632" t="e">
        <f t="shared" si="12"/>
        <v>#N/A</v>
      </c>
      <c r="T30" s="631" t="s">
        <v>25</v>
      </c>
      <c r="U30" s="632" t="e">
        <f t="shared" si="13"/>
        <v>#N/A</v>
      </c>
      <c r="V30" s="631" t="s">
        <v>25</v>
      </c>
      <c r="W30" s="632" t="e">
        <f t="shared" si="14"/>
        <v>#N/A</v>
      </c>
      <c r="X30" s="1335"/>
      <c r="Y30" s="3750"/>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750"/>
      <c r="Q31" s="1327" t="str">
        <f t="shared" si="11"/>
        <v>是否封闭</v>
      </c>
      <c r="R31" s="627" t="s">
        <v>25</v>
      </c>
      <c r="S31" s="628">
        <f t="shared" si="12"/>
        <v>100</v>
      </c>
      <c r="T31" s="627" t="s">
        <v>25</v>
      </c>
      <c r="U31" s="628">
        <f t="shared" si="13"/>
        <v>100</v>
      </c>
      <c r="V31" s="627" t="s">
        <v>25</v>
      </c>
      <c r="W31" s="628">
        <f t="shared" si="14"/>
        <v>100</v>
      </c>
      <c r="X31" s="629"/>
      <c r="Y31" s="375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750" t="s">
        <v>2275</v>
      </c>
      <c r="Q32" s="1334">
        <f t="shared" si="11"/>
        <v>111</v>
      </c>
      <c r="R32" s="631" t="s">
        <v>25</v>
      </c>
      <c r="S32" s="632">
        <f t="shared" si="12"/>
        <v>100</v>
      </c>
      <c r="T32" s="631" t="s">
        <v>25</v>
      </c>
      <c r="U32" s="632">
        <f t="shared" si="13"/>
        <v>100</v>
      </c>
      <c r="V32" s="631" t="s">
        <v>25</v>
      </c>
      <c r="W32" s="632">
        <f t="shared" si="14"/>
        <v>100</v>
      </c>
      <c r="X32" s="1335"/>
      <c r="Y32" s="3750"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750"/>
      <c r="Q33" s="1334">
        <f t="shared" si="11"/>
        <v>111</v>
      </c>
      <c r="R33" s="631" t="s">
        <v>25</v>
      </c>
      <c r="S33" s="632">
        <f t="shared" si="12"/>
        <v>100</v>
      </c>
      <c r="T33" s="631" t="s">
        <v>25</v>
      </c>
      <c r="U33" s="632">
        <f t="shared" si="13"/>
        <v>100</v>
      </c>
      <c r="V33" s="631" t="s">
        <v>25</v>
      </c>
      <c r="W33" s="632">
        <f t="shared" si="14"/>
        <v>100</v>
      </c>
      <c r="X33" s="1335"/>
      <c r="Y33" s="375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3"/>
      <c r="M34" s="3024"/>
      <c r="N34" s="3024"/>
      <c r="O34" s="3032"/>
      <c r="P34" s="3750"/>
      <c r="Q34" s="1334">
        <f t="shared" si="11"/>
        <v>111</v>
      </c>
      <c r="R34" s="631" t="s">
        <v>25</v>
      </c>
      <c r="S34" s="632">
        <f t="shared" si="12"/>
        <v>100</v>
      </c>
      <c r="T34" s="631" t="s">
        <v>25</v>
      </c>
      <c r="U34" s="632">
        <f t="shared" si="13"/>
        <v>100</v>
      </c>
      <c r="V34" s="631" t="s">
        <v>25</v>
      </c>
      <c r="W34" s="632">
        <f t="shared" si="14"/>
        <v>100</v>
      </c>
      <c r="X34" s="1335"/>
      <c r="Y34" s="3750"/>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5"/>
      <c r="N35" s="3024"/>
      <c r="P35" s="3744" t="str">
        <f>A35</f>
        <v>成交单价（元/平方米）</v>
      </c>
      <c r="Q35" s="3744"/>
      <c r="R35" s="3745">
        <f>E35</f>
        <v>0</v>
      </c>
      <c r="S35" s="3745"/>
      <c r="T35" s="3745">
        <f>G35</f>
        <v>0</v>
      </c>
      <c r="U35" s="3745"/>
      <c r="V35" s="3745">
        <f>I35</f>
        <v>0</v>
      </c>
      <c r="W35" s="3745"/>
      <c r="X35" s="618"/>
      <c r="Y35" s="638"/>
      <c r="Z35" s="618"/>
      <c r="AA35" s="618"/>
      <c r="AB35" s="618"/>
      <c r="AC35" s="618"/>
    </row>
    <row r="36" spans="1:29" ht="15.75" thickBot="1">
      <c r="A36" s="374" t="s">
        <v>2370</v>
      </c>
      <c r="B36" s="375"/>
      <c r="C36" s="1159" t="e">
        <f>R37</f>
        <v>#DIV/0!</v>
      </c>
      <c r="D36" s="1795" t="s">
        <v>2744</v>
      </c>
      <c r="E36" s="1160" t="e">
        <f>R36</f>
        <v>#DIV/0!</v>
      </c>
      <c r="F36" s="1797"/>
      <c r="G36" s="1159" t="e">
        <f>T36</f>
        <v>#DIV/0!</v>
      </c>
      <c r="H36" s="1797"/>
      <c r="I36" s="1160" t="e">
        <f>V36</f>
        <v>#DIV/0!</v>
      </c>
      <c r="J36" s="1797"/>
      <c r="K36" s="2509">
        <f>F36+H36+J36</f>
        <v>0</v>
      </c>
      <c r="L36" s="3035"/>
      <c r="N36" s="3024"/>
      <c r="P36" s="3744" t="str">
        <f>A36</f>
        <v>比较价值（元/平方米）</v>
      </c>
      <c r="Q36" s="3744"/>
      <c r="R36" s="3745" t="e">
        <f>IF(E1="售价",ROUND(PRODUCT(R35,AA7:AA34),0),ROUND(PRODUCT(R35,AA7:AA34),1))</f>
        <v>#DIV/0!</v>
      </c>
      <c r="S36" s="3745"/>
      <c r="T36" s="3745" t="e">
        <f>IF(E1="售价",ROUND(PRODUCT(T35,AB7:AB34),0),ROUND(PRODUCT(T35,AB7:AB34),1))</f>
        <v>#DIV/0!</v>
      </c>
      <c r="U36" s="3745"/>
      <c r="V36" s="3745" t="e">
        <f>IF(E1="售价",ROUND(PRODUCT(V35,AC7:AC34),0),ROUND(PRODUCT(V35,AC7:AC34),1))</f>
        <v>#DIV/0!</v>
      </c>
      <c r="W36" s="3745"/>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5"/>
      <c r="P37" s="3746" t="str">
        <f>A37</f>
        <v>估价对象XX用房的比较价值（楼面单价，元/平方米）</v>
      </c>
      <c r="Q37" s="3747"/>
      <c r="R37" s="3748" t="e">
        <f>IF(E1="售价",ROUND(IF(D36="简单平均",AVERAGE(R36:W36),R36*F36+T36*H36+V36*J36),0),ROUND(IF(D36="简单平均",AVERAGE(R36:V36),R36*F36+T36*H36+V36*J36),1))</f>
        <v>#DIV/0!</v>
      </c>
      <c r="S37" s="3748"/>
      <c r="T37" s="3748"/>
      <c r="U37" s="3748"/>
      <c r="V37" s="3748"/>
      <c r="W37" s="3748"/>
      <c r="X37" s="618"/>
      <c r="Y37" s="618"/>
      <c r="Z37" s="618"/>
      <c r="AA37" s="618"/>
      <c r="AB37" s="618"/>
      <c r="AC37" s="618"/>
    </row>
    <row r="38" spans="1:29">
      <c r="G38" s="3038"/>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2375</v>
      </c>
      <c r="B45" s="618"/>
      <c r="C45" s="621"/>
      <c r="D45" s="621"/>
      <c r="E45" s="621"/>
      <c r="F45" s="622"/>
      <c r="G45" s="622"/>
      <c r="H45" s="621"/>
      <c r="I45" s="621"/>
      <c r="J45" s="621"/>
      <c r="K45" s="623"/>
      <c r="L45" s="624"/>
      <c r="M45" s="621"/>
      <c r="N45" s="3041"/>
      <c r="O45" s="3041"/>
      <c r="P45" s="389"/>
      <c r="Q45" s="390"/>
    </row>
    <row r="46" spans="1:29" s="394" customFormat="1" ht="15">
      <c r="A46" s="391" t="s">
        <v>2258</v>
      </c>
      <c r="B46" s="392"/>
      <c r="C46" s="1187" t="str">
        <f>YEAR(C7)&amp;"-"&amp;MONTH(C7)</f>
        <v>2009-7</v>
      </c>
      <c r="D46" s="1188">
        <f>EDATE(C46,-1)</f>
        <v>39965</v>
      </c>
      <c r="E46" s="1188">
        <f t="shared" ref="E46:O46" si="16">EDATE(D46,-1)</f>
        <v>39934</v>
      </c>
      <c r="F46" s="1188">
        <f t="shared" si="16"/>
        <v>39904</v>
      </c>
      <c r="G46" s="1188">
        <f t="shared" si="16"/>
        <v>39873</v>
      </c>
      <c r="H46" s="1188">
        <f t="shared" si="16"/>
        <v>39845</v>
      </c>
      <c r="I46" s="1188">
        <f t="shared" si="16"/>
        <v>39814</v>
      </c>
      <c r="J46" s="1188">
        <f t="shared" si="16"/>
        <v>39783</v>
      </c>
      <c r="K46" s="1188">
        <f t="shared" si="16"/>
        <v>39753</v>
      </c>
      <c r="L46" s="1188">
        <f t="shared" si="16"/>
        <v>39722</v>
      </c>
      <c r="M46" s="1188">
        <f t="shared" si="16"/>
        <v>39692</v>
      </c>
      <c r="N46" s="1188">
        <f t="shared" si="16"/>
        <v>39661</v>
      </c>
      <c r="O46" s="1188">
        <f t="shared" si="16"/>
        <v>39630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A7" sqref="A7:XFD7"/>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8" customWidth="1"/>
    <col min="12" max="12" width="12.25" style="1909"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8" customFormat="1" ht="28.5" customHeight="1">
      <c r="A1" s="1949" t="s">
        <v>2440</v>
      </c>
      <c r="B1" s="1950"/>
      <c r="C1" s="1951" t="s">
        <v>2441</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7" t="s">
        <v>2442</v>
      </c>
      <c r="D2" s="3010"/>
      <c r="E2" s="3010"/>
      <c r="F2" s="3009"/>
      <c r="G2" s="3010"/>
      <c r="H2" s="3010"/>
      <c r="I2" s="3010"/>
      <c r="J2" s="3010"/>
      <c r="K2" s="3011"/>
      <c r="L2" s="3012"/>
      <c r="M2" s="3010"/>
      <c r="N2" s="3010"/>
      <c r="O2" s="3010"/>
      <c r="P2" s="1955"/>
      <c r="Q2" s="1955"/>
      <c r="R2" s="1955"/>
      <c r="S2" s="1955"/>
      <c r="T2" s="1955"/>
      <c r="U2" s="1955"/>
      <c r="V2" s="1955"/>
      <c r="W2" s="1955"/>
      <c r="X2" s="1955"/>
      <c r="Y2" s="1955"/>
      <c r="Z2" s="1955"/>
      <c r="AA2" s="1955"/>
      <c r="AB2" s="1955"/>
      <c r="AC2" s="1956"/>
      <c r="AD2" s="1957"/>
    </row>
    <row r="3" spans="1:30" s="1958" customFormat="1" ht="28.5" customHeight="1" thickBot="1">
      <c r="A3" s="1659" t="s">
        <v>1914</v>
      </c>
      <c r="B3" s="1961" t="e">
        <f>ROUND(B2/'数据-取费表'!B5,0)</f>
        <v>#DIV/0!</v>
      </c>
      <c r="C3" s="1657" t="s">
        <v>2443</v>
      </c>
      <c r="D3" s="3010"/>
      <c r="E3" s="3010"/>
      <c r="F3" s="3009"/>
      <c r="G3" s="3010"/>
      <c r="H3" s="3010"/>
      <c r="I3" s="3010"/>
      <c r="J3" s="3010"/>
      <c r="K3" s="3011"/>
      <c r="L3" s="3012"/>
      <c r="M3" s="3010"/>
      <c r="N3" s="3010"/>
      <c r="O3" s="3010"/>
      <c r="P3" s="1955"/>
      <c r="Q3" s="1955"/>
      <c r="R3" s="1955"/>
      <c r="S3" s="1955"/>
      <c r="T3" s="1955"/>
      <c r="U3" s="1955"/>
      <c r="V3" s="1955"/>
      <c r="W3" s="1955"/>
      <c r="X3" s="1955"/>
      <c r="Y3" s="1955"/>
      <c r="Z3" s="1955"/>
      <c r="AA3" s="1955"/>
      <c r="AB3" s="1962"/>
      <c r="AC3" s="1963"/>
    </row>
    <row r="4" spans="1:30" ht="15">
      <c r="A4" s="1663" t="s">
        <v>2245</v>
      </c>
      <c r="B4" s="1664"/>
      <c r="C4" s="3726" t="s">
        <v>2246</v>
      </c>
      <c r="D4" s="3727"/>
      <c r="E4" s="3728" t="s">
        <v>2247</v>
      </c>
      <c r="F4" s="3729"/>
      <c r="G4" s="3726" t="s">
        <v>2248</v>
      </c>
      <c r="H4" s="3727"/>
      <c r="I4" s="3726" t="s">
        <v>2249</v>
      </c>
      <c r="J4" s="3727"/>
      <c r="K4" s="1964" t="s">
        <v>2250</v>
      </c>
      <c r="L4" s="2995"/>
      <c r="M4" s="2996"/>
      <c r="N4" s="2996"/>
      <c r="O4" s="2996"/>
      <c r="P4" s="3730" t="s">
        <v>2251</v>
      </c>
      <c r="Q4" s="3731"/>
      <c r="R4" s="3715" t="s">
        <v>2247</v>
      </c>
      <c r="S4" s="3716"/>
      <c r="T4" s="3715" t="s">
        <v>2248</v>
      </c>
      <c r="U4" s="3716"/>
      <c r="V4" s="3736" t="s">
        <v>2249</v>
      </c>
      <c r="W4" s="3736"/>
      <c r="X4" s="1666"/>
      <c r="Y4" s="3715" t="s">
        <v>2251</v>
      </c>
      <c r="Z4" s="3716"/>
      <c r="AA4" s="3723" t="s">
        <v>2247</v>
      </c>
      <c r="AB4" s="3724" t="s">
        <v>2248</v>
      </c>
      <c r="AC4" s="3723" t="s">
        <v>2249</v>
      </c>
    </row>
    <row r="5" spans="1:30" ht="15">
      <c r="A5" s="1668"/>
      <c r="B5" s="1669"/>
      <c r="C5" s="3742" t="s">
        <v>2252</v>
      </c>
      <c r="D5" s="3712"/>
      <c r="E5" s="3741" t="s">
        <v>2253</v>
      </c>
      <c r="F5" s="3738"/>
      <c r="G5" s="3742" t="s">
        <v>2254</v>
      </c>
      <c r="H5" s="3712"/>
      <c r="I5" s="3742" t="s">
        <v>2255</v>
      </c>
      <c r="J5" s="3712"/>
      <c r="K5" s="1964"/>
      <c r="L5" s="2995"/>
      <c r="M5" s="2996"/>
      <c r="N5" s="2996"/>
      <c r="O5" s="2996"/>
      <c r="P5" s="3732"/>
      <c r="Q5" s="3733"/>
      <c r="R5" s="3717"/>
      <c r="S5" s="3718"/>
      <c r="T5" s="3717"/>
      <c r="U5" s="3718"/>
      <c r="V5" s="3736"/>
      <c r="W5" s="3736"/>
      <c r="X5" s="1666"/>
      <c r="Y5" s="3717"/>
      <c r="Z5" s="3718"/>
      <c r="AA5" s="3724"/>
      <c r="AB5" s="3724"/>
      <c r="AC5" s="3724"/>
    </row>
    <row r="6" spans="1:30" ht="15.75" thickBot="1">
      <c r="A6" s="1671"/>
      <c r="B6" s="1672"/>
      <c r="C6" s="3709" t="s">
        <v>2256</v>
      </c>
      <c r="D6" s="3710"/>
      <c r="E6" s="3739" t="s">
        <v>2256</v>
      </c>
      <c r="F6" s="3740"/>
      <c r="G6" s="3709" t="s">
        <v>2256</v>
      </c>
      <c r="H6" s="3710"/>
      <c r="I6" s="3709" t="s">
        <v>2256</v>
      </c>
      <c r="J6" s="3710"/>
      <c r="K6" s="1964" t="s">
        <v>2257</v>
      </c>
      <c r="L6" s="2995"/>
      <c r="M6" s="2996"/>
      <c r="N6" s="2996"/>
      <c r="O6" s="2996"/>
      <c r="P6" s="3734"/>
      <c r="Q6" s="3735"/>
      <c r="R6" s="3717"/>
      <c r="S6" s="3718"/>
      <c r="T6" s="3719"/>
      <c r="U6" s="3720"/>
      <c r="V6" s="3736"/>
      <c r="W6" s="3736"/>
      <c r="X6" s="1666"/>
      <c r="Y6" s="3719"/>
      <c r="Z6" s="3720"/>
      <c r="AA6" s="3725"/>
      <c r="AB6" s="3725"/>
      <c r="AC6" s="3725"/>
    </row>
    <row r="7" spans="1:30" s="1685" customFormat="1" ht="15.75" thickBot="1">
      <c r="A7" s="1673" t="s">
        <v>2258</v>
      </c>
      <c r="B7" s="1674"/>
      <c r="C7" s="1675">
        <f>'数据-取费表'!B2</f>
        <v>40002</v>
      </c>
      <c r="D7" s="1676">
        <v>100</v>
      </c>
      <c r="E7" s="1677"/>
      <c r="F7" s="1678">
        <f>SUMIF(70:70,YEAR(E7)&amp;"-"&amp;INT((MONTH(E7)+2)/3),71:71)</f>
        <v>0</v>
      </c>
      <c r="G7" s="1965"/>
      <c r="H7" s="1676">
        <f>SUMIF(70:70,YEAR(G7)&amp;"-"&amp;INT((MONTH(G7)+2)/3),71:71)</f>
        <v>0</v>
      </c>
      <c r="I7" s="1965"/>
      <c r="J7" s="1676">
        <f>SUMIF(70:70,YEAR(I7)&amp;"-"&amp;INT((MONTH(I7)+2)/3),71:71)</f>
        <v>0</v>
      </c>
      <c r="K7" s="1966"/>
      <c r="L7" s="2995"/>
      <c r="M7" s="2968"/>
      <c r="N7" s="2968"/>
      <c r="O7" s="2968"/>
      <c r="P7" s="3713" t="s">
        <v>2259</v>
      </c>
      <c r="Q7" s="3721"/>
      <c r="R7" s="1681" t="s">
        <v>25</v>
      </c>
      <c r="S7" s="1682">
        <f t="shared" ref="S7:S15" si="0">F7</f>
        <v>0</v>
      </c>
      <c r="T7" s="1681" t="s">
        <v>25</v>
      </c>
      <c r="U7" s="1682">
        <f t="shared" ref="U7:U15" si="1">H7</f>
        <v>0</v>
      </c>
      <c r="V7" s="1681" t="s">
        <v>25</v>
      </c>
      <c r="W7" s="1682">
        <f t="shared" ref="W7:W15" si="2">J7</f>
        <v>0</v>
      </c>
      <c r="X7" s="1683"/>
      <c r="Y7" s="3713" t="s">
        <v>2259</v>
      </c>
      <c r="Z7" s="3714"/>
      <c r="AA7" s="1684" t="e">
        <f>D7/F7</f>
        <v>#DIV/0!</v>
      </c>
      <c r="AB7" s="1684" t="e">
        <f>D7/H7</f>
        <v>#DIV/0!</v>
      </c>
      <c r="AC7" s="1684" t="e">
        <f>D7/J7</f>
        <v>#DIV/0!</v>
      </c>
    </row>
    <row r="8" spans="1:30" s="1685" customFormat="1" ht="15.75" thickBot="1">
      <c r="A8" s="1673" t="s">
        <v>2260</v>
      </c>
      <c r="B8" s="1674"/>
      <c r="C8" s="1686" t="s">
        <v>2444</v>
      </c>
      <c r="D8" s="1676">
        <v>100</v>
      </c>
      <c r="E8" s="1686"/>
      <c r="F8" s="1678">
        <f>SUMIF(73:73,E8,74:74)-SUMIF(73:73,C8,74:74)+100</f>
        <v>0</v>
      </c>
      <c r="G8" s="1686"/>
      <c r="H8" s="1676">
        <f>SUMIF(73:73,G8,74:74)-SUMIF(73:73,C8,74:74)+100</f>
        <v>0</v>
      </c>
      <c r="I8" s="1686"/>
      <c r="J8" s="1676">
        <f>SUMIF(73:73,I8,74:74)-SUMIF(73:73,C8,74:74)+100</f>
        <v>0</v>
      </c>
      <c r="K8" s="1966"/>
      <c r="L8" s="2995"/>
      <c r="M8" s="2968"/>
      <c r="N8" s="2968"/>
      <c r="O8" s="2968"/>
      <c r="P8" s="3713" t="s">
        <v>2262</v>
      </c>
      <c r="Q8" s="3714"/>
      <c r="R8" s="1681" t="s">
        <v>25</v>
      </c>
      <c r="S8" s="1682">
        <f t="shared" si="0"/>
        <v>0</v>
      </c>
      <c r="T8" s="1681" t="s">
        <v>25</v>
      </c>
      <c r="U8" s="1682">
        <f t="shared" si="1"/>
        <v>0</v>
      </c>
      <c r="V8" s="1681" t="s">
        <v>25</v>
      </c>
      <c r="W8" s="1682">
        <f t="shared" si="2"/>
        <v>0</v>
      </c>
      <c r="X8" s="1683"/>
      <c r="Y8" s="3713" t="s">
        <v>2262</v>
      </c>
      <c r="Z8" s="3714"/>
      <c r="AA8" s="1684" t="e">
        <f t="shared" ref="AA8:AA45" si="3">D8/F8</f>
        <v>#DIV/0!</v>
      </c>
      <c r="AB8" s="1684" t="e">
        <f t="shared" ref="AB8:AB45" si="4">D8/H8</f>
        <v>#DIV/0!</v>
      </c>
      <c r="AC8" s="1684" t="e">
        <f t="shared" ref="AC8:AC45" si="5">D8/J8</f>
        <v>#DIV/0!</v>
      </c>
    </row>
    <row r="9" spans="1:30" s="1685" customFormat="1">
      <c r="A9" s="1636" t="s">
        <v>2263</v>
      </c>
      <c r="B9" s="1687" t="s">
        <v>2264</v>
      </c>
      <c r="C9" s="1967"/>
      <c r="D9" s="1689">
        <v>100</v>
      </c>
      <c r="E9" s="1967"/>
      <c r="F9" s="1689">
        <f>SUMIF(75:75,E9,76:76)-SUMIF(75:75,C9,76:76)+100</f>
        <v>100</v>
      </c>
      <c r="G9" s="1967"/>
      <c r="H9" s="1689">
        <f>SUMIF(75:75,G9,76:76)-SUMIF(75:75,C9,76:76)+100</f>
        <v>100</v>
      </c>
      <c r="I9" s="1967"/>
      <c r="J9" s="1689">
        <f>SUMIF(75:75,I9,76:76)-SUMIF(75:75,C9,76:76)+100</f>
        <v>100</v>
      </c>
      <c r="K9" s="1966"/>
      <c r="L9" s="2995"/>
      <c r="M9" s="2968"/>
      <c r="N9" s="2968"/>
      <c r="O9" s="3042"/>
      <c r="P9" s="3699" t="s">
        <v>2265</v>
      </c>
      <c r="Q9" s="1635" t="str">
        <f t="shared" ref="Q9:Q15" si="6">B9</f>
        <v>用途</v>
      </c>
      <c r="R9" s="1681" t="s">
        <v>25</v>
      </c>
      <c r="S9" s="1682">
        <f t="shared" si="0"/>
        <v>100</v>
      </c>
      <c r="T9" s="1681" t="s">
        <v>25</v>
      </c>
      <c r="U9" s="1682">
        <f t="shared" si="1"/>
        <v>100</v>
      </c>
      <c r="V9" s="1681" t="s">
        <v>25</v>
      </c>
      <c r="W9" s="1682">
        <f t="shared" si="2"/>
        <v>100</v>
      </c>
      <c r="X9" s="1683"/>
      <c r="Y9" s="3557" t="s">
        <v>2266</v>
      </c>
      <c r="Z9" s="1693" t="str">
        <f t="shared" ref="Z9:Z15" si="7">Q9</f>
        <v>用途</v>
      </c>
      <c r="AA9" s="1684">
        <f t="shared" si="3"/>
        <v>1</v>
      </c>
      <c r="AB9" s="1684">
        <f t="shared" si="4"/>
        <v>1</v>
      </c>
      <c r="AC9" s="1684">
        <f t="shared" si="5"/>
        <v>1</v>
      </c>
    </row>
    <row r="10" spans="1:30" s="1701" customFormat="1" ht="27">
      <c r="A10" s="1694"/>
      <c r="B10" s="1695" t="s">
        <v>2267</v>
      </c>
      <c r="C10" s="1707"/>
      <c r="D10" s="1697">
        <v>100</v>
      </c>
      <c r="E10" s="1759"/>
      <c r="F10" s="1697">
        <f>ROUND(100/'数据-取费表'!B14,0)</f>
        <v>100</v>
      </c>
      <c r="G10" s="1757"/>
      <c r="H10" s="1697">
        <f>ROUND(100/'数据-取费表'!B14,0)</f>
        <v>100</v>
      </c>
      <c r="I10" s="1757"/>
      <c r="J10" s="1697">
        <f>ROUND(100/'数据-取费表'!B14,0)</f>
        <v>100</v>
      </c>
      <c r="K10" s="1968"/>
      <c r="L10" s="2997"/>
      <c r="M10" s="2998"/>
      <c r="N10" s="2998"/>
      <c r="O10" s="3043"/>
      <c r="P10" s="3699"/>
      <c r="Q10" s="1635" t="str">
        <f t="shared" si="6"/>
        <v>土地使用年限（年）</v>
      </c>
      <c r="R10" s="1681" t="s">
        <v>25</v>
      </c>
      <c r="S10" s="1682">
        <f t="shared" si="0"/>
        <v>100</v>
      </c>
      <c r="T10" s="1681" t="s">
        <v>25</v>
      </c>
      <c r="U10" s="1682">
        <f t="shared" si="1"/>
        <v>100</v>
      </c>
      <c r="V10" s="1681" t="s">
        <v>25</v>
      </c>
      <c r="W10" s="1682">
        <f t="shared" si="2"/>
        <v>100</v>
      </c>
      <c r="X10" s="1683"/>
      <c r="Y10" s="3557"/>
      <c r="Z10" s="1693" t="str">
        <f t="shared" si="7"/>
        <v>土地使用年限（年）</v>
      </c>
      <c r="AA10" s="1684">
        <f t="shared" si="3"/>
        <v>1</v>
      </c>
      <c r="AB10" s="1684">
        <f t="shared" si="4"/>
        <v>1</v>
      </c>
      <c r="AC10" s="1684">
        <f t="shared" si="5"/>
        <v>1</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69"/>
      <c r="L11" s="2999"/>
      <c r="M11" s="2996"/>
      <c r="N11" s="2996"/>
      <c r="O11" s="3044"/>
      <c r="P11" s="3699"/>
      <c r="Q11" s="1635" t="str">
        <f t="shared" si="6"/>
        <v>容积率</v>
      </c>
      <c r="R11" s="1681" t="s">
        <v>25</v>
      </c>
      <c r="S11" s="1682" t="e">
        <f t="shared" si="0"/>
        <v>#N/A</v>
      </c>
      <c r="T11" s="1681" t="s">
        <v>25</v>
      </c>
      <c r="U11" s="1682" t="e">
        <f t="shared" si="1"/>
        <v>#N/A</v>
      </c>
      <c r="V11" s="1681" t="s">
        <v>25</v>
      </c>
      <c r="W11" s="1682" t="e">
        <f t="shared" si="2"/>
        <v>#N/A</v>
      </c>
      <c r="X11" s="1683"/>
      <c r="Y11" s="3557"/>
      <c r="Z11" s="1693" t="str">
        <f t="shared" si="7"/>
        <v>容积率</v>
      </c>
      <c r="AA11" s="1684" t="e">
        <f t="shared" si="3"/>
        <v>#N/A</v>
      </c>
      <c r="AB11" s="1684" t="e">
        <f t="shared" si="4"/>
        <v>#N/A</v>
      </c>
      <c r="AC11" s="1684" t="e">
        <f t="shared" si="5"/>
        <v>#N/A</v>
      </c>
    </row>
    <row r="12" spans="1:30" s="1685" customFormat="1" ht="15">
      <c r="A12" s="1705"/>
      <c r="B12" s="1706" t="s">
        <v>2445</v>
      </c>
      <c r="C12" s="1707"/>
      <c r="D12" s="1708">
        <v>100</v>
      </c>
      <c r="E12" s="1759"/>
      <c r="F12" s="1697">
        <f>SUMIF(82:82,E12,83:83)-SUMIF(82:82,C12,83:83)+100</f>
        <v>100</v>
      </c>
      <c r="G12" s="1757"/>
      <c r="H12" s="1697">
        <f>SUMIF(82:82,G12,83:83)-SUMIF(82:82,C12,83:83)+100</f>
        <v>100</v>
      </c>
      <c r="I12" s="1759"/>
      <c r="J12" s="1697">
        <f>SUMIF(82:82,I12,83:83)-SUMIF(82:82,C12,83:83)+100</f>
        <v>100</v>
      </c>
      <c r="K12" s="1968"/>
      <c r="L12" s="2995"/>
      <c r="M12" s="2968"/>
      <c r="N12" s="2968"/>
      <c r="O12" s="3042"/>
      <c r="P12" s="3699"/>
      <c r="Q12" s="1635" t="str">
        <f t="shared" si="6"/>
        <v>配建</v>
      </c>
      <c r="R12" s="1681" t="s">
        <v>25</v>
      </c>
      <c r="S12" s="1682">
        <f t="shared" si="0"/>
        <v>100</v>
      </c>
      <c r="T12" s="1681" t="s">
        <v>25</v>
      </c>
      <c r="U12" s="1682">
        <f t="shared" si="1"/>
        <v>100</v>
      </c>
      <c r="V12" s="1681" t="s">
        <v>25</v>
      </c>
      <c r="W12" s="1682">
        <f t="shared" si="2"/>
        <v>100</v>
      </c>
      <c r="X12" s="1683"/>
      <c r="Y12" s="3557"/>
      <c r="Z12" s="1693" t="str">
        <f t="shared" si="7"/>
        <v>配建</v>
      </c>
      <c r="AA12" s="1684">
        <f>D12/F12</f>
        <v>1</v>
      </c>
      <c r="AB12" s="1684">
        <f>D12/H12</f>
        <v>1</v>
      </c>
      <c r="AC12" s="1684">
        <f>D12/J12</f>
        <v>1</v>
      </c>
    </row>
    <row r="13" spans="1:30" ht="15">
      <c r="A13" s="1702"/>
      <c r="B13" s="1706">
        <v>111</v>
      </c>
      <c r="C13" s="1710"/>
      <c r="D13" s="1711">
        <v>100</v>
      </c>
      <c r="E13" s="1866"/>
      <c r="F13" s="1697">
        <f>SUMIF(84:84,E13,85:85)-SUMIF(84:84,C13,85:85)+100</f>
        <v>100</v>
      </c>
      <c r="G13" s="1970"/>
      <c r="H13" s="1711">
        <f>SUMIF(84:84,G13,85:85)-SUMIF(84:84,C13,85:85)+100</f>
        <v>100</v>
      </c>
      <c r="I13" s="1970"/>
      <c r="J13" s="1711">
        <f>SUMIF(84:84,I13,85:85)-SUMIF(84:84,C13,85:85)+100</f>
        <v>100</v>
      </c>
      <c r="K13" s="1968"/>
      <c r="L13" s="3000"/>
      <c r="M13" s="2996"/>
      <c r="N13" s="2996"/>
      <c r="O13" s="3044"/>
      <c r="P13" s="3699"/>
      <c r="Q13" s="1635">
        <f t="shared" si="6"/>
        <v>111</v>
      </c>
      <c r="R13" s="1681" t="s">
        <v>25</v>
      </c>
      <c r="S13" s="1682">
        <f t="shared" si="0"/>
        <v>100</v>
      </c>
      <c r="T13" s="1681" t="s">
        <v>25</v>
      </c>
      <c r="U13" s="1682">
        <f t="shared" si="1"/>
        <v>100</v>
      </c>
      <c r="V13" s="1681" t="s">
        <v>25</v>
      </c>
      <c r="W13" s="1682">
        <f t="shared" si="2"/>
        <v>100</v>
      </c>
      <c r="X13" s="1683"/>
      <c r="Y13" s="3557"/>
      <c r="Z13" s="1693">
        <f t="shared" si="7"/>
        <v>111</v>
      </c>
      <c r="AA13" s="1684">
        <f>D13/F13</f>
        <v>1</v>
      </c>
      <c r="AB13" s="1684">
        <f>D13/H13</f>
        <v>1</v>
      </c>
      <c r="AC13" s="1684">
        <f>D13/J13</f>
        <v>1</v>
      </c>
    </row>
    <row r="14" spans="1:30" ht="15.75" thickBot="1">
      <c r="A14" s="1712"/>
      <c r="B14" s="1713">
        <v>111</v>
      </c>
      <c r="C14" s="1714"/>
      <c r="D14" s="1715">
        <v>100</v>
      </c>
      <c r="E14" s="1866"/>
      <c r="F14" s="1715">
        <f>SUMIF(86:86,E14,87:87)-SUMIF(86:86,C14,87:87)+100</f>
        <v>100</v>
      </c>
      <c r="G14" s="1970"/>
      <c r="H14" s="1715">
        <f>SUMIF(86:86,G14,87:87)-SUMIF(86:86,C14,87:87)+100</f>
        <v>100</v>
      </c>
      <c r="I14" s="1970"/>
      <c r="J14" s="1715">
        <f>SUMIF(86:86,I14,87:87)-SUMIF(86:86,C14,87:87)+100</f>
        <v>100</v>
      </c>
      <c r="K14" s="1968"/>
      <c r="L14" s="3000"/>
      <c r="M14" s="2996"/>
      <c r="N14" s="2996"/>
      <c r="O14" s="3044"/>
      <c r="P14" s="3699"/>
      <c r="Q14" s="1635">
        <f t="shared" si="6"/>
        <v>111</v>
      </c>
      <c r="R14" s="1681" t="s">
        <v>25</v>
      </c>
      <c r="S14" s="1682">
        <f t="shared" si="0"/>
        <v>100</v>
      </c>
      <c r="T14" s="1681" t="s">
        <v>25</v>
      </c>
      <c r="U14" s="1682">
        <f t="shared" si="1"/>
        <v>100</v>
      </c>
      <c r="V14" s="1681" t="s">
        <v>25</v>
      </c>
      <c r="W14" s="1682">
        <f t="shared" si="2"/>
        <v>100</v>
      </c>
      <c r="X14" s="1683"/>
      <c r="Y14" s="3557"/>
      <c r="Z14" s="1693">
        <f t="shared" si="7"/>
        <v>111</v>
      </c>
      <c r="AA14" s="1684">
        <f>D14/F14</f>
        <v>1</v>
      </c>
      <c r="AB14" s="1684">
        <f>D14/H14</f>
        <v>1</v>
      </c>
      <c r="AC14" s="1684">
        <f>D14/J14</f>
        <v>1</v>
      </c>
    </row>
    <row r="15" spans="1:30" ht="71.25">
      <c r="A15" s="1663" t="s">
        <v>2269</v>
      </c>
      <c r="B15" s="1971" t="s">
        <v>1703</v>
      </c>
      <c r="C15" s="1972" t="str">
        <f>估价对象房地状况!C15</f>
        <v>周边有沿海赛洛城、金都杭城、金海国际等住宅小区，居住社区成熟度较好</v>
      </c>
      <c r="D15" s="1720">
        <v>100</v>
      </c>
      <c r="E15" s="1721"/>
      <c r="F15" s="1720">
        <f>SUMIF(88:88,E16,89:89)-SUMIF(88:88,C16,89:89)+100</f>
        <v>100</v>
      </c>
      <c r="G15" s="1721"/>
      <c r="H15" s="1720">
        <f>SUMIF(88:88,G16,89:89)-SUMIF(88:88,C16,89:89)+100</f>
        <v>100</v>
      </c>
      <c r="I15" s="1723"/>
      <c r="J15" s="1720">
        <f>SUMIF(88:88,I16,89:89)-SUMIF(88:88,C16,89:89)+100</f>
        <v>100</v>
      </c>
      <c r="K15" s="1969"/>
      <c r="L15" s="3000"/>
      <c r="M15" s="2996"/>
      <c r="N15" s="2996"/>
      <c r="O15" s="3044"/>
      <c r="P15" s="3702" t="s">
        <v>2270</v>
      </c>
      <c r="Q15" s="1616" t="str">
        <f t="shared" si="6"/>
        <v>居住社区成熟度</v>
      </c>
      <c r="R15" s="1725" t="s">
        <v>25</v>
      </c>
      <c r="S15" s="1726">
        <f t="shared" si="0"/>
        <v>100</v>
      </c>
      <c r="T15" s="1725" t="s">
        <v>25</v>
      </c>
      <c r="U15" s="1726">
        <f t="shared" si="1"/>
        <v>100</v>
      </c>
      <c r="V15" s="1725" t="s">
        <v>25</v>
      </c>
      <c r="W15" s="1726">
        <f t="shared" si="2"/>
        <v>100</v>
      </c>
      <c r="X15" s="1666"/>
      <c r="Y15" s="3702" t="s">
        <v>2270</v>
      </c>
      <c r="Z15" s="1727" t="str">
        <f t="shared" si="7"/>
        <v>居住社区成熟度</v>
      </c>
      <c r="AA15" s="1728">
        <f t="shared" si="3"/>
        <v>1</v>
      </c>
      <c r="AB15" s="1728">
        <f t="shared" si="4"/>
        <v>1</v>
      </c>
      <c r="AC15" s="1728">
        <f t="shared" si="5"/>
        <v>1</v>
      </c>
    </row>
    <row r="16" spans="1:30" ht="15">
      <c r="A16" s="1668"/>
      <c r="B16" s="1973"/>
      <c r="C16" s="1974"/>
      <c r="D16" s="1731"/>
      <c r="E16" s="1732"/>
      <c r="F16" s="1731"/>
      <c r="G16" s="1732"/>
      <c r="H16" s="1735"/>
      <c r="I16" s="1734"/>
      <c r="J16" s="1731"/>
      <c r="K16" s="1968"/>
      <c r="L16" s="3000"/>
      <c r="M16" s="2996"/>
      <c r="N16" s="2996"/>
      <c r="O16" s="3044"/>
      <c r="P16" s="3703"/>
      <c r="Q16" s="1616"/>
      <c r="R16" s="1725"/>
      <c r="S16" s="1726"/>
      <c r="T16" s="1725"/>
      <c r="U16" s="1726"/>
      <c r="V16" s="1725"/>
      <c r="W16" s="1726"/>
      <c r="X16" s="1666"/>
      <c r="Y16" s="3703"/>
      <c r="Z16" s="1727"/>
      <c r="AA16" s="1728">
        <v>1</v>
      </c>
      <c r="AB16" s="1728">
        <v>1</v>
      </c>
      <c r="AC16" s="1728">
        <v>1</v>
      </c>
    </row>
    <row r="17" spans="1:29" ht="71.25">
      <c r="A17" s="1668"/>
      <c r="B17" s="1975" t="s">
        <v>2354</v>
      </c>
      <c r="C17" s="1976"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69"/>
      <c r="L17" s="3000"/>
      <c r="M17" s="2996"/>
      <c r="N17" s="2996"/>
      <c r="O17" s="3044"/>
      <c r="P17" s="3703"/>
      <c r="Q17" s="1616" t="str">
        <f>B17</f>
        <v>商业繁华度</v>
      </c>
      <c r="R17" s="1725" t="s">
        <v>25</v>
      </c>
      <c r="S17" s="1726">
        <f>F17</f>
        <v>100</v>
      </c>
      <c r="T17" s="1725" t="s">
        <v>25</v>
      </c>
      <c r="U17" s="1726">
        <f>H17</f>
        <v>100</v>
      </c>
      <c r="V17" s="1725" t="s">
        <v>25</v>
      </c>
      <c r="W17" s="1726">
        <f>J17</f>
        <v>100</v>
      </c>
      <c r="X17" s="1666"/>
      <c r="Y17" s="3703"/>
      <c r="Z17" s="1727" t="str">
        <f>Q17</f>
        <v>商业繁华度</v>
      </c>
      <c r="AA17" s="1728">
        <f t="shared" si="3"/>
        <v>1</v>
      </c>
      <c r="AB17" s="1728">
        <f t="shared" si="4"/>
        <v>1</v>
      </c>
      <c r="AC17" s="1728">
        <f t="shared" si="5"/>
        <v>1</v>
      </c>
    </row>
    <row r="18" spans="1:29" ht="15">
      <c r="A18" s="1668"/>
      <c r="B18" s="1977"/>
      <c r="C18" s="1978"/>
      <c r="D18" s="1735"/>
      <c r="E18" s="1745"/>
      <c r="F18" s="1735"/>
      <c r="G18" s="1745"/>
      <c r="H18" s="1731"/>
      <c r="I18" s="1746"/>
      <c r="J18" s="1731"/>
      <c r="K18" s="1968"/>
      <c r="L18" s="3000"/>
      <c r="M18" s="2996"/>
      <c r="N18" s="2996"/>
      <c r="O18" s="3044"/>
      <c r="P18" s="3703"/>
      <c r="Q18" s="1616"/>
      <c r="R18" s="1725"/>
      <c r="S18" s="1726"/>
      <c r="T18" s="1725"/>
      <c r="U18" s="1726"/>
      <c r="V18" s="1725"/>
      <c r="W18" s="1726"/>
      <c r="X18" s="1666"/>
      <c r="Y18" s="3703"/>
      <c r="Z18" s="1727"/>
      <c r="AA18" s="1728">
        <v>1</v>
      </c>
      <c r="AB18" s="1728">
        <v>1</v>
      </c>
      <c r="AC18" s="1728">
        <v>1</v>
      </c>
    </row>
    <row r="19" spans="1:29" ht="71.25">
      <c r="A19" s="1668"/>
      <c r="B19" s="1975" t="s">
        <v>2383</v>
      </c>
      <c r="C19" s="1976"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69"/>
      <c r="L19" s="3000"/>
      <c r="M19" s="2996"/>
      <c r="N19" s="2996"/>
      <c r="O19" s="3044"/>
      <c r="P19" s="3703"/>
      <c r="Q19" s="1616" t="str">
        <f>B19</f>
        <v>办公集聚程度</v>
      </c>
      <c r="R19" s="1725" t="s">
        <v>25</v>
      </c>
      <c r="S19" s="1726">
        <f>F19</f>
        <v>100</v>
      </c>
      <c r="T19" s="1725" t="s">
        <v>25</v>
      </c>
      <c r="U19" s="1726">
        <f>H19</f>
        <v>100</v>
      </c>
      <c r="V19" s="1725" t="s">
        <v>25</v>
      </c>
      <c r="W19" s="1726">
        <f>J19</f>
        <v>100</v>
      </c>
      <c r="X19" s="1666"/>
      <c r="Y19" s="3703"/>
      <c r="Z19" s="1727" t="str">
        <f>Q19</f>
        <v>办公集聚程度</v>
      </c>
      <c r="AA19" s="1728">
        <f t="shared" si="3"/>
        <v>1</v>
      </c>
      <c r="AB19" s="1728">
        <f t="shared" si="4"/>
        <v>1</v>
      </c>
      <c r="AC19" s="1728">
        <f t="shared" si="5"/>
        <v>1</v>
      </c>
    </row>
    <row r="20" spans="1:29" ht="15">
      <c r="A20" s="1668"/>
      <c r="B20" s="1977"/>
      <c r="C20" s="1974"/>
      <c r="D20" s="1731"/>
      <c r="E20" s="1732"/>
      <c r="F20" s="1731"/>
      <c r="G20" s="1732"/>
      <c r="H20" s="1731"/>
      <c r="I20" s="1734"/>
      <c r="J20" s="1731"/>
      <c r="K20" s="1968"/>
      <c r="L20" s="3000"/>
      <c r="M20" s="2996"/>
      <c r="N20" s="2996"/>
      <c r="O20" s="3044"/>
      <c r="P20" s="3703"/>
      <c r="Q20" s="1616"/>
      <c r="R20" s="1725"/>
      <c r="S20" s="1726"/>
      <c r="T20" s="1725"/>
      <c r="U20" s="1726"/>
      <c r="V20" s="1725"/>
      <c r="W20" s="1726"/>
      <c r="X20" s="1666"/>
      <c r="Y20" s="3703"/>
      <c r="Z20" s="1727"/>
      <c r="AA20" s="1728">
        <v>1</v>
      </c>
      <c r="AB20" s="1728">
        <v>1</v>
      </c>
      <c r="AC20" s="1728">
        <v>1</v>
      </c>
    </row>
    <row r="21" spans="1:29" ht="142.5">
      <c r="A21" s="1668"/>
      <c r="B21" s="1975" t="s">
        <v>2406</v>
      </c>
      <c r="C21" s="1979" t="str">
        <f>估价对象房地状况!C18</f>
        <v>距地铁1号线四惠站（换乘站）约1000米（2003），距地铁7号线百子湾站约1.5公里（2014），周边有多条公交线路通过，交通便捷度较好</v>
      </c>
      <c r="D21" s="1735">
        <v>100</v>
      </c>
      <c r="E21" s="1739"/>
      <c r="F21" s="1742">
        <f>SUMIF(94:94,E22,95:95)-SUMIF(94:94,C22,95:95)+100</f>
        <v>100</v>
      </c>
      <c r="G21" s="1739"/>
      <c r="H21" s="1735">
        <f>SUMIF(94:94,G22,95:95)-SUMIF(94:94,C22,95:95)+100</f>
        <v>100</v>
      </c>
      <c r="I21" s="1741"/>
      <c r="J21" s="1735">
        <f>SUMIF(94:94,I22,95:95)-SUMIF(94:94,C22,95:95)+100</f>
        <v>100</v>
      </c>
      <c r="K21" s="1969"/>
      <c r="L21" s="3000"/>
      <c r="M21" s="2996"/>
      <c r="N21" s="2996"/>
      <c r="O21" s="3044"/>
      <c r="P21" s="3703"/>
      <c r="Q21" s="1616" t="str">
        <f>B21</f>
        <v>交通便捷度</v>
      </c>
      <c r="R21" s="1725" t="s">
        <v>25</v>
      </c>
      <c r="S21" s="1726">
        <f>F21</f>
        <v>100</v>
      </c>
      <c r="T21" s="1725" t="s">
        <v>25</v>
      </c>
      <c r="U21" s="1726">
        <f>H21</f>
        <v>100</v>
      </c>
      <c r="V21" s="1725" t="s">
        <v>25</v>
      </c>
      <c r="W21" s="1726">
        <f>J21</f>
        <v>100</v>
      </c>
      <c r="X21" s="1666"/>
      <c r="Y21" s="3703"/>
      <c r="Z21" s="1727" t="str">
        <f>Q21</f>
        <v>交通便捷度</v>
      </c>
      <c r="AA21" s="1728">
        <f t="shared" si="3"/>
        <v>1</v>
      </c>
      <c r="AB21" s="1728">
        <f t="shared" si="4"/>
        <v>1</v>
      </c>
      <c r="AC21" s="1728">
        <f t="shared" si="5"/>
        <v>1</v>
      </c>
    </row>
    <row r="22" spans="1:29" ht="15">
      <c r="A22" s="1668"/>
      <c r="B22" s="1980"/>
      <c r="C22" s="1974"/>
      <c r="D22" s="1735"/>
      <c r="E22" s="1732"/>
      <c r="F22" s="1731"/>
      <c r="G22" s="1732"/>
      <c r="H22" s="1731"/>
      <c r="I22" s="1734"/>
      <c r="J22" s="1731"/>
      <c r="K22" s="1968"/>
      <c r="L22" s="3000"/>
      <c r="M22" s="2996"/>
      <c r="N22" s="2996"/>
      <c r="O22" s="3044"/>
      <c r="P22" s="3703"/>
      <c r="Q22" s="1616"/>
      <c r="R22" s="1725"/>
      <c r="S22" s="1726"/>
      <c r="T22" s="1725"/>
      <c r="U22" s="1726"/>
      <c r="V22" s="1725"/>
      <c r="W22" s="1726"/>
      <c r="X22" s="1666"/>
      <c r="Y22" s="3703"/>
      <c r="Z22" s="1727"/>
      <c r="AA22" s="1728">
        <v>1</v>
      </c>
      <c r="AB22" s="1728">
        <v>1</v>
      </c>
      <c r="AC22" s="1728">
        <v>1</v>
      </c>
    </row>
    <row r="23" spans="1:29" ht="15">
      <c r="A23" s="1668"/>
      <c r="B23" s="1458" t="s">
        <v>2446</v>
      </c>
      <c r="C23" s="1981">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9"/>
      <c r="L23" s="3000"/>
      <c r="M23" s="2996"/>
      <c r="N23" s="2996"/>
      <c r="O23" s="3044"/>
      <c r="P23" s="3703"/>
      <c r="Q23" s="1616" t="str">
        <f t="shared" ref="Q23:Q37" si="8">B23</f>
        <v>区域土地利用方向</v>
      </c>
      <c r="R23" s="1725" t="s">
        <v>25</v>
      </c>
      <c r="S23" s="1726">
        <f>F23</f>
        <v>100</v>
      </c>
      <c r="T23" s="1725" t="s">
        <v>25</v>
      </c>
      <c r="U23" s="1726">
        <f>H23</f>
        <v>100</v>
      </c>
      <c r="V23" s="1725" t="s">
        <v>25</v>
      </c>
      <c r="W23" s="1726">
        <f>J23</f>
        <v>100</v>
      </c>
      <c r="X23" s="1666"/>
      <c r="Y23" s="3703"/>
      <c r="Z23" s="1727" t="str">
        <f>Q23</f>
        <v>区域土地利用方向</v>
      </c>
      <c r="AA23" s="1728">
        <f t="shared" si="3"/>
        <v>1</v>
      </c>
      <c r="AB23" s="1728">
        <f t="shared" si="4"/>
        <v>1</v>
      </c>
      <c r="AC23" s="1728">
        <f t="shared" si="5"/>
        <v>1</v>
      </c>
    </row>
    <row r="24" spans="1:29" ht="15">
      <c r="A24" s="1668"/>
      <c r="B24" s="1459"/>
      <c r="C24" s="1982"/>
      <c r="D24" s="1731"/>
      <c r="E24" s="1732"/>
      <c r="F24" s="1731"/>
      <c r="G24" s="1734"/>
      <c r="H24" s="1731"/>
      <c r="I24" s="1734"/>
      <c r="J24" s="1731"/>
      <c r="K24" s="1983"/>
      <c r="L24" s="3000"/>
      <c r="M24" s="2996"/>
      <c r="N24" s="2996"/>
      <c r="O24" s="3044"/>
      <c r="P24" s="3703"/>
      <c r="Q24" s="1616"/>
      <c r="R24" s="1725"/>
      <c r="S24" s="1726"/>
      <c r="T24" s="1725"/>
      <c r="U24" s="1726"/>
      <c r="V24" s="1725"/>
      <c r="W24" s="1726"/>
      <c r="X24" s="1666"/>
      <c r="Y24" s="3703"/>
      <c r="Z24" s="1727"/>
      <c r="AA24" s="1728"/>
      <c r="AB24" s="1728"/>
      <c r="AC24" s="1728"/>
    </row>
    <row r="25" spans="1:29" ht="128.25">
      <c r="A25" s="1668"/>
      <c r="B25" s="1980" t="s">
        <v>2447</v>
      </c>
      <c r="C25" s="1976" t="str">
        <f>估价对象房地状况!C20</f>
        <v>区域自然环境：惠水湾森林公园（2019）、百子湾绿地公园（2019）；人文环境：北京政法职业学院(杨闸校区)；综合评价环境状况较好</v>
      </c>
      <c r="D25" s="1735">
        <v>100</v>
      </c>
      <c r="E25" s="1739"/>
      <c r="F25" s="1735">
        <f>SUMIF(98:98,E26,99:99)-SUMIF(98:98,C26,99:99)+100</f>
        <v>100</v>
      </c>
      <c r="G25" s="1739"/>
      <c r="H25" s="1735">
        <f>SUMIF(98:98,G26,99:99)-SUMIF(98:98,C26,99:99)+100</f>
        <v>100</v>
      </c>
      <c r="I25" s="1741"/>
      <c r="J25" s="1735">
        <f>SUMIF(98:98,I26,99:99)-SUMIF(98:98,C26,99:99)+100</f>
        <v>100</v>
      </c>
      <c r="K25" s="1969"/>
      <c r="L25" s="3000"/>
      <c r="M25" s="2996"/>
      <c r="N25" s="2996"/>
      <c r="O25" s="3044"/>
      <c r="P25" s="3703"/>
      <c r="Q25" s="1616" t="str">
        <f t="shared" si="8"/>
        <v>自然及人文环境状况</v>
      </c>
      <c r="R25" s="1725" t="s">
        <v>25</v>
      </c>
      <c r="S25" s="1726">
        <f>F25</f>
        <v>100</v>
      </c>
      <c r="T25" s="1725" t="s">
        <v>25</v>
      </c>
      <c r="U25" s="1726">
        <f>H25</f>
        <v>100</v>
      </c>
      <c r="V25" s="1725" t="s">
        <v>25</v>
      </c>
      <c r="W25" s="1726">
        <f>J25</f>
        <v>100</v>
      </c>
      <c r="X25" s="1666"/>
      <c r="Y25" s="3703"/>
      <c r="Z25" s="1727" t="str">
        <f>Q25</f>
        <v>自然及人文环境状况</v>
      </c>
      <c r="AA25" s="1728">
        <f t="shared" si="3"/>
        <v>1</v>
      </c>
      <c r="AB25" s="1728">
        <f t="shared" si="4"/>
        <v>1</v>
      </c>
      <c r="AC25" s="1728">
        <f t="shared" si="5"/>
        <v>1</v>
      </c>
    </row>
    <row r="26" spans="1:29" ht="15">
      <c r="A26" s="1668"/>
      <c r="B26" s="1977"/>
      <c r="C26" s="1974"/>
      <c r="D26" s="1731"/>
      <c r="E26" s="1974"/>
      <c r="F26" s="1731"/>
      <c r="G26" s="1974"/>
      <c r="H26" s="1731"/>
      <c r="I26" s="1730"/>
      <c r="J26" s="1731"/>
      <c r="K26" s="1968"/>
      <c r="L26" s="3000"/>
      <c r="M26" s="2996"/>
      <c r="N26" s="2996"/>
      <c r="O26" s="3044"/>
      <c r="P26" s="3703"/>
      <c r="Q26" s="1616"/>
      <c r="R26" s="1725"/>
      <c r="S26" s="1726"/>
      <c r="T26" s="1725"/>
      <c r="U26" s="1726"/>
      <c r="V26" s="1725"/>
      <c r="W26" s="1726"/>
      <c r="X26" s="1666"/>
      <c r="Y26" s="3703"/>
      <c r="Z26" s="1727"/>
      <c r="AA26" s="1728">
        <v>1</v>
      </c>
      <c r="AB26" s="1728">
        <v>1</v>
      </c>
      <c r="AC26" s="1728">
        <v>1</v>
      </c>
    </row>
    <row r="27" spans="1:29" ht="199.5">
      <c r="A27" s="1668"/>
      <c r="B27" s="1980" t="s">
        <v>2355</v>
      </c>
      <c r="C27" s="1979" t="str">
        <f>估价对象房地状况!C21</f>
        <v>华堂商场（十里堡店）、北京四惠中医医院（2016）、北京市朝阳区日坛小学（1962）、垂杨柳第四小学（1971）、北京市第十七中学（百子湾校区）（1946）、北京市日坛中学（四惠校区）（2015）</v>
      </c>
      <c r="D27" s="1735">
        <v>100</v>
      </c>
      <c r="E27" s="1739"/>
      <c r="F27" s="1735">
        <f>SUMIF(100:100,E28,101:101)-SUMIF(100:100,C28,101:101)+100</f>
        <v>100</v>
      </c>
      <c r="G27" s="1739"/>
      <c r="H27" s="1735">
        <f>SUMIF(100:100,G28,101:101)-SUMIF(100:100,C28,101:101)+100</f>
        <v>100</v>
      </c>
      <c r="I27" s="1741"/>
      <c r="J27" s="1735">
        <f>SUMIF(100:100,I28,101:101)-SUMIF(100:100,C28,101:101)+100</f>
        <v>100</v>
      </c>
      <c r="K27" s="1984"/>
      <c r="L27" s="3000"/>
      <c r="M27" s="2996"/>
      <c r="N27" s="2996"/>
      <c r="O27" s="3044"/>
      <c r="P27" s="3703"/>
      <c r="Q27" s="1635" t="str">
        <f t="shared" ref="Q27" si="9">B27</f>
        <v>公共配套设施</v>
      </c>
      <c r="R27" s="1681" t="s">
        <v>25</v>
      </c>
      <c r="S27" s="1682">
        <f>F27</f>
        <v>100</v>
      </c>
      <c r="T27" s="1681" t="s">
        <v>25</v>
      </c>
      <c r="U27" s="1682">
        <f>H27</f>
        <v>100</v>
      </c>
      <c r="V27" s="1681" t="s">
        <v>25</v>
      </c>
      <c r="W27" s="1682">
        <f>J27</f>
        <v>100</v>
      </c>
      <c r="X27" s="1666"/>
      <c r="Y27" s="3703"/>
      <c r="Z27" s="1693" t="str">
        <f>Q27</f>
        <v>公共配套设施</v>
      </c>
      <c r="AA27" s="1728">
        <f>D27/F27</f>
        <v>1</v>
      </c>
      <c r="AB27" s="1728">
        <f>D27/H27</f>
        <v>1</v>
      </c>
      <c r="AC27" s="1728">
        <f>D27/J27</f>
        <v>1</v>
      </c>
    </row>
    <row r="28" spans="1:29" ht="15">
      <c r="A28" s="1668"/>
      <c r="B28" s="1977"/>
      <c r="C28" s="1985"/>
      <c r="D28" s="1731"/>
      <c r="E28" s="1985"/>
      <c r="F28" s="1731"/>
      <c r="G28" s="1985"/>
      <c r="H28" s="1731"/>
      <c r="I28" s="1985"/>
      <c r="J28" s="1731"/>
      <c r="K28" s="1968"/>
      <c r="L28" s="3000"/>
      <c r="M28" s="2996"/>
      <c r="N28" s="2996"/>
      <c r="O28" s="3044"/>
      <c r="P28" s="3703"/>
      <c r="Q28" s="1616"/>
      <c r="R28" s="1725"/>
      <c r="S28" s="1726"/>
      <c r="T28" s="1725"/>
      <c r="U28" s="1726"/>
      <c r="V28" s="1725"/>
      <c r="W28" s="1726"/>
      <c r="X28" s="1666"/>
      <c r="Y28" s="3703"/>
      <c r="Z28" s="1693"/>
      <c r="AA28" s="1728">
        <v>1</v>
      </c>
      <c r="AB28" s="1728">
        <v>1</v>
      </c>
      <c r="AC28" s="1728">
        <v>1</v>
      </c>
    </row>
    <row r="29" spans="1:29" s="1685" customFormat="1" ht="15">
      <c r="A29" s="1986"/>
      <c r="B29" s="1980" t="s">
        <v>2356</v>
      </c>
      <c r="C29" s="1987"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4"/>
      <c r="L29" s="2995"/>
      <c r="M29" s="2968"/>
      <c r="N29" s="2968"/>
      <c r="O29" s="3042"/>
      <c r="P29" s="3703"/>
      <c r="Q29" s="1635" t="str">
        <f t="shared" si="8"/>
        <v>基础设施水平</v>
      </c>
      <c r="R29" s="1681" t="s">
        <v>25</v>
      </c>
      <c r="S29" s="1682">
        <f>F29</f>
        <v>100</v>
      </c>
      <c r="T29" s="1681" t="s">
        <v>25</v>
      </c>
      <c r="U29" s="1682">
        <f>H29</f>
        <v>100</v>
      </c>
      <c r="V29" s="1681" t="s">
        <v>25</v>
      </c>
      <c r="W29" s="1682">
        <f>J29</f>
        <v>100</v>
      </c>
      <c r="X29" s="1683"/>
      <c r="Y29" s="3703"/>
      <c r="Z29" s="1693" t="str">
        <f>Q29</f>
        <v>基础设施水平</v>
      </c>
      <c r="AA29" s="1728">
        <f>D29/F29</f>
        <v>1</v>
      </c>
      <c r="AB29" s="1728">
        <f>D29/H29</f>
        <v>1</v>
      </c>
      <c r="AC29" s="1728">
        <f>D29/J29</f>
        <v>1</v>
      </c>
    </row>
    <row r="30" spans="1:29" s="1685" customFormat="1" ht="15">
      <c r="A30" s="1986"/>
      <c r="B30" s="1977"/>
      <c r="C30" s="1985"/>
      <c r="D30" s="1731"/>
      <c r="E30" s="1985"/>
      <c r="F30" s="1731"/>
      <c r="G30" s="1985"/>
      <c r="H30" s="1731"/>
      <c r="I30" s="1985"/>
      <c r="J30" s="1731"/>
      <c r="K30" s="1968"/>
      <c r="L30" s="2995"/>
      <c r="M30" s="2968"/>
      <c r="N30" s="2968"/>
      <c r="O30" s="3042"/>
      <c r="P30" s="3703"/>
      <c r="Q30" s="1635"/>
      <c r="R30" s="1681"/>
      <c r="S30" s="1682"/>
      <c r="T30" s="1681"/>
      <c r="U30" s="1682"/>
      <c r="V30" s="1681"/>
      <c r="W30" s="1682"/>
      <c r="X30" s="1683"/>
      <c r="Y30" s="3703"/>
      <c r="Z30" s="1693"/>
      <c r="AA30" s="1728">
        <v>1</v>
      </c>
      <c r="AB30" s="1728">
        <v>1</v>
      </c>
      <c r="AC30" s="1728">
        <v>1</v>
      </c>
    </row>
    <row r="31" spans="1:29" ht="15">
      <c r="A31" s="1668"/>
      <c r="B31" s="1977" t="s">
        <v>2357</v>
      </c>
      <c r="C31" s="1982"/>
      <c r="D31" s="1711">
        <v>100</v>
      </c>
      <c r="E31" s="1982"/>
      <c r="F31" s="1711">
        <f>SUMIF(104:104,E31,105:105)-SUMIF(104:104,C31,105:105)+100</f>
        <v>100</v>
      </c>
      <c r="G31" s="1982"/>
      <c r="H31" s="1711">
        <f>SUMIF(104:104,G31,105:105)-SUMIF(104:104,C31,105:105)+100</f>
        <v>100</v>
      </c>
      <c r="I31" s="1982"/>
      <c r="J31" s="1711">
        <f>SUMIF(104:104,I31,105:105)-SUMIF(104:104,C31,105:105)+100</f>
        <v>100</v>
      </c>
      <c r="K31" s="1969"/>
      <c r="L31" s="3000"/>
      <c r="M31" s="2996"/>
      <c r="N31" s="2996"/>
      <c r="O31" s="3044"/>
      <c r="P31" s="3703"/>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703"/>
      <c r="Z31" s="1727" t="str">
        <f t="shared" ref="Z31:Z45" si="13">Q31</f>
        <v>临街状况</v>
      </c>
      <c r="AA31" s="1728">
        <f t="shared" si="3"/>
        <v>1</v>
      </c>
      <c r="AB31" s="1728">
        <f t="shared" si="4"/>
        <v>1</v>
      </c>
      <c r="AC31" s="1728">
        <f t="shared" si="5"/>
        <v>1</v>
      </c>
    </row>
    <row r="32" spans="1:29" ht="27">
      <c r="A32" s="1668"/>
      <c r="B32" s="1980" t="s">
        <v>2387</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9"/>
      <c r="L32" s="3000"/>
      <c r="M32" s="2996"/>
      <c r="N32" s="2996"/>
      <c r="O32" s="3044"/>
      <c r="P32" s="3703"/>
      <c r="Q32" s="1616" t="str">
        <f t="shared" si="8"/>
        <v>毗邻道路的类型与等级</v>
      </c>
      <c r="R32" s="1725" t="s">
        <v>25</v>
      </c>
      <c r="S32" s="1726">
        <f t="shared" si="10"/>
        <v>100</v>
      </c>
      <c r="T32" s="1725" t="s">
        <v>25</v>
      </c>
      <c r="U32" s="1726">
        <f t="shared" si="11"/>
        <v>100</v>
      </c>
      <c r="V32" s="1725" t="s">
        <v>25</v>
      </c>
      <c r="W32" s="1726">
        <f t="shared" si="12"/>
        <v>100</v>
      </c>
      <c r="X32" s="1666"/>
      <c r="Y32" s="3703"/>
      <c r="Z32" s="1727" t="str">
        <f t="shared" si="13"/>
        <v>毗邻道路的类型与等级</v>
      </c>
      <c r="AA32" s="1728">
        <f t="shared" si="3"/>
        <v>1</v>
      </c>
      <c r="AB32" s="1728">
        <f t="shared" si="4"/>
        <v>1</v>
      </c>
      <c r="AC32" s="1728">
        <f t="shared" si="5"/>
        <v>1</v>
      </c>
    </row>
    <row r="33" spans="1:29" ht="15">
      <c r="A33" s="1668"/>
      <c r="B33" s="1977"/>
      <c r="C33" s="1974"/>
      <c r="D33" s="1731"/>
      <c r="E33" s="1974"/>
      <c r="F33" s="1731"/>
      <c r="G33" s="1974"/>
      <c r="H33" s="1731"/>
      <c r="I33" s="1730"/>
      <c r="J33" s="1731"/>
      <c r="K33" s="1988"/>
      <c r="L33" s="3000"/>
      <c r="M33" s="2996"/>
      <c r="N33" s="2996"/>
      <c r="O33" s="3044"/>
      <c r="P33" s="3703"/>
      <c r="Q33" s="1616"/>
      <c r="R33" s="1725"/>
      <c r="S33" s="1726"/>
      <c r="T33" s="1725"/>
      <c r="U33" s="1726"/>
      <c r="V33" s="1725"/>
      <c r="W33" s="1726"/>
      <c r="X33" s="1666"/>
      <c r="Y33" s="3703"/>
      <c r="Z33" s="1727"/>
      <c r="AA33" s="1728">
        <v>1</v>
      </c>
      <c r="AB33" s="1728">
        <v>1</v>
      </c>
      <c r="AC33" s="1728">
        <v>1</v>
      </c>
    </row>
    <row r="34" spans="1:29" ht="15">
      <c r="A34" s="1668"/>
      <c r="B34" s="1989" t="s">
        <v>2448</v>
      </c>
      <c r="C34" s="1982"/>
      <c r="D34" s="1711">
        <v>100</v>
      </c>
      <c r="E34" s="1982"/>
      <c r="F34" s="1711">
        <f>SUMIF(108:108,E34,109:109)-SUMIF(108:108,C34,109:109)+100</f>
        <v>100</v>
      </c>
      <c r="G34" s="1982"/>
      <c r="H34" s="1711">
        <f>SUMIF(108:108,G34,109:109)-SUMIF(108:108,C34,109:109)+100</f>
        <v>100</v>
      </c>
      <c r="I34" s="1990"/>
      <c r="J34" s="1711">
        <f>SUMIF(108:108,I34,109:109)-SUMIF(108:108,C34,109:109)+100</f>
        <v>100</v>
      </c>
      <c r="K34" s="1991"/>
      <c r="L34" s="3000"/>
      <c r="M34" s="2996"/>
      <c r="N34" s="2996"/>
      <c r="O34" s="3044"/>
      <c r="P34" s="3703"/>
      <c r="Q34" s="1616" t="str">
        <f t="shared" si="8"/>
        <v>土地级别</v>
      </c>
      <c r="R34" s="1725" t="s">
        <v>25</v>
      </c>
      <c r="S34" s="1726">
        <f t="shared" si="10"/>
        <v>100</v>
      </c>
      <c r="T34" s="1725" t="s">
        <v>25</v>
      </c>
      <c r="U34" s="1726">
        <f t="shared" si="11"/>
        <v>100</v>
      </c>
      <c r="V34" s="1725" t="s">
        <v>25</v>
      </c>
      <c r="W34" s="1726">
        <f t="shared" si="12"/>
        <v>100</v>
      </c>
      <c r="X34" s="1666"/>
      <c r="Y34" s="3703"/>
      <c r="Z34" s="1727" t="str">
        <f t="shared" si="13"/>
        <v>土地级别</v>
      </c>
      <c r="AA34" s="1728">
        <f t="shared" si="3"/>
        <v>1</v>
      </c>
      <c r="AB34" s="1728">
        <f t="shared" si="4"/>
        <v>1</v>
      </c>
      <c r="AC34" s="1728">
        <f t="shared" si="5"/>
        <v>1</v>
      </c>
    </row>
    <row r="35" spans="1:29" ht="15">
      <c r="A35" s="1668"/>
      <c r="B35" s="1992">
        <v>111</v>
      </c>
      <c r="C35" s="1778"/>
      <c r="D35" s="1711">
        <v>100</v>
      </c>
      <c r="E35" s="1778"/>
      <c r="F35" s="1711">
        <f>SUMIF(110:110,E35,111:111)-SUMIF(110:110,C35,111:111)+100</f>
        <v>100</v>
      </c>
      <c r="G35" s="1778"/>
      <c r="H35" s="1711">
        <f>SUMIF(110:110,G35,111:111)-SUMIF(110:110,C35,111:111)+100</f>
        <v>100</v>
      </c>
      <c r="I35" s="1970"/>
      <c r="J35" s="1711">
        <f>SUMIF(110:110,I35,111:111)-SUMIF(110:110,C35,111:111)+100</f>
        <v>100</v>
      </c>
      <c r="K35" s="1988"/>
      <c r="L35" s="3000"/>
      <c r="M35" s="2996"/>
      <c r="N35" s="2996"/>
      <c r="O35" s="3044"/>
      <c r="P35" s="3703"/>
      <c r="Q35" s="1616">
        <f t="shared" si="8"/>
        <v>111</v>
      </c>
      <c r="R35" s="1725" t="s">
        <v>25</v>
      </c>
      <c r="S35" s="1726">
        <f t="shared" si="10"/>
        <v>100</v>
      </c>
      <c r="T35" s="1725" t="s">
        <v>25</v>
      </c>
      <c r="U35" s="1726">
        <f t="shared" si="11"/>
        <v>100</v>
      </c>
      <c r="V35" s="1725" t="s">
        <v>25</v>
      </c>
      <c r="W35" s="1726">
        <f t="shared" si="12"/>
        <v>100</v>
      </c>
      <c r="X35" s="1666"/>
      <c r="Y35" s="3703"/>
      <c r="Z35" s="1727">
        <f t="shared" si="13"/>
        <v>111</v>
      </c>
      <c r="AA35" s="1728">
        <f t="shared" si="3"/>
        <v>1</v>
      </c>
      <c r="AB35" s="1728">
        <f t="shared" si="4"/>
        <v>1</v>
      </c>
      <c r="AC35" s="1728">
        <f t="shared" si="5"/>
        <v>1</v>
      </c>
    </row>
    <row r="36" spans="1:29" ht="15">
      <c r="A36" s="1993"/>
      <c r="B36" s="1994">
        <v>111</v>
      </c>
      <c r="C36" s="1778"/>
      <c r="D36" s="1711">
        <v>100</v>
      </c>
      <c r="E36" s="1778"/>
      <c r="F36" s="1711">
        <f>SUMIF(112:112,E37,113:113)-SUMIF(112:112,C37,113:113)+100</f>
        <v>100</v>
      </c>
      <c r="G36" s="1778"/>
      <c r="H36" s="1711">
        <f>SUMIF(112:112,G36,113:113)-SUMIF(112:112,C36,113:113)+100</f>
        <v>100</v>
      </c>
      <c r="I36" s="1970"/>
      <c r="J36" s="1711">
        <f>SUMIF(112:112,I36,113:113)-SUMIF(112:112,C36,113:113)+100</f>
        <v>100</v>
      </c>
      <c r="K36" s="1988"/>
      <c r="L36" s="3000"/>
      <c r="M36" s="2996"/>
      <c r="N36" s="2996"/>
      <c r="O36" s="3044"/>
      <c r="P36" s="3743" t="s">
        <v>2275</v>
      </c>
      <c r="Q36" s="1616">
        <f t="shared" si="8"/>
        <v>111</v>
      </c>
      <c r="R36" s="1725" t="s">
        <v>25</v>
      </c>
      <c r="S36" s="1726">
        <f t="shared" si="10"/>
        <v>100</v>
      </c>
      <c r="T36" s="1725" t="s">
        <v>25</v>
      </c>
      <c r="U36" s="1726">
        <f t="shared" si="11"/>
        <v>100</v>
      </c>
      <c r="V36" s="1725" t="s">
        <v>25</v>
      </c>
      <c r="W36" s="1726">
        <f t="shared" si="12"/>
        <v>100</v>
      </c>
      <c r="X36" s="1666"/>
      <c r="Y36" s="3707" t="s">
        <v>2275</v>
      </c>
      <c r="Z36" s="1727">
        <f t="shared" si="13"/>
        <v>111</v>
      </c>
      <c r="AA36" s="1728">
        <f t="shared" si="3"/>
        <v>1</v>
      </c>
      <c r="AB36" s="1728">
        <f t="shared" si="4"/>
        <v>1</v>
      </c>
      <c r="AC36" s="1728">
        <f t="shared" si="5"/>
        <v>1</v>
      </c>
    </row>
    <row r="37" spans="1:29" s="1770" customFormat="1" ht="15.75" thickBot="1">
      <c r="A37" s="1995"/>
      <c r="B37" s="1996">
        <v>111</v>
      </c>
      <c r="C37" s="1997"/>
      <c r="D37" s="1998">
        <v>100</v>
      </c>
      <c r="E37" s="1997"/>
      <c r="F37" s="1715">
        <f>SUMIF(114:114,E37,115:115)-SUMIF(114:114,C37,115:115)+100</f>
        <v>100</v>
      </c>
      <c r="G37" s="1997"/>
      <c r="H37" s="1715">
        <f>SUMIF(114:114,G37,115:115)-SUMIF(114:114,C37,115:115)+100</f>
        <v>100</v>
      </c>
      <c r="I37" s="1999"/>
      <c r="J37" s="1715">
        <f>SUMIF(114:114,I37,115:115)-SUMIF(114:114,C37,115:115)+100</f>
        <v>100</v>
      </c>
      <c r="K37" s="1988"/>
      <c r="L37" s="2999"/>
      <c r="M37" s="2058"/>
      <c r="N37" s="2058"/>
      <c r="O37" s="3045"/>
      <c r="P37" s="3707"/>
      <c r="Q37" s="1616">
        <f t="shared" si="8"/>
        <v>111</v>
      </c>
      <c r="R37" s="1766" t="s">
        <v>25</v>
      </c>
      <c r="S37" s="1767">
        <f t="shared" si="10"/>
        <v>100</v>
      </c>
      <c r="T37" s="1766" t="s">
        <v>25</v>
      </c>
      <c r="U37" s="1767">
        <f t="shared" si="11"/>
        <v>100</v>
      </c>
      <c r="V37" s="1766" t="s">
        <v>25</v>
      </c>
      <c r="W37" s="1767">
        <f t="shared" si="12"/>
        <v>100</v>
      </c>
      <c r="X37" s="1768"/>
      <c r="Y37" s="3707"/>
      <c r="Z37" s="1769">
        <f t="shared" si="13"/>
        <v>111</v>
      </c>
      <c r="AA37" s="1728">
        <f t="shared" si="3"/>
        <v>1</v>
      </c>
      <c r="AB37" s="1728">
        <f t="shared" si="4"/>
        <v>1</v>
      </c>
      <c r="AC37" s="1728">
        <f t="shared" si="5"/>
        <v>1</v>
      </c>
    </row>
    <row r="38" spans="1:29" ht="15">
      <c r="A38" s="1663" t="s">
        <v>2273</v>
      </c>
      <c r="B38" s="1743" t="s">
        <v>2449</v>
      </c>
      <c r="C38" s="2000"/>
      <c r="D38" s="1762">
        <v>100</v>
      </c>
      <c r="E38" s="2000"/>
      <c r="F38" s="1762" t="e">
        <f>LOOKUP(E38,117:117,118:118)-LOOKUP(C38,117:117,118:118)+100</f>
        <v>#N/A</v>
      </c>
      <c r="G38" s="2000"/>
      <c r="H38" s="1762" t="e">
        <f>LOOKUP(G38,117:117,118:118)-LOOKUP(C38,117:117,118:118)+100</f>
        <v>#N/A</v>
      </c>
      <c r="I38" s="1848"/>
      <c r="J38" s="1762" t="e">
        <f>LOOKUP(I38,117:117,118:118)-LOOKUP(C38,117:117,118:118)+100</f>
        <v>#N/A</v>
      </c>
      <c r="K38" s="1988"/>
      <c r="L38" s="3000"/>
      <c r="M38" s="2996"/>
      <c r="N38" s="2996"/>
      <c r="O38" s="3044"/>
      <c r="P38" s="3707"/>
      <c r="Q38" s="1616" t="str">
        <f>B38</f>
        <v>宗地面积</v>
      </c>
      <c r="R38" s="1725" t="s">
        <v>25</v>
      </c>
      <c r="S38" s="1726" t="e">
        <f t="shared" si="10"/>
        <v>#N/A</v>
      </c>
      <c r="T38" s="1725" t="s">
        <v>25</v>
      </c>
      <c r="U38" s="1726" t="e">
        <f t="shared" si="11"/>
        <v>#N/A</v>
      </c>
      <c r="V38" s="1725" t="s">
        <v>25</v>
      </c>
      <c r="W38" s="1726" t="e">
        <f t="shared" si="12"/>
        <v>#N/A</v>
      </c>
      <c r="X38" s="1666"/>
      <c r="Y38" s="3707"/>
      <c r="Z38" s="1727" t="str">
        <f t="shared" si="13"/>
        <v>宗地面积</v>
      </c>
      <c r="AA38" s="1728" t="e">
        <f t="shared" si="3"/>
        <v>#N/A</v>
      </c>
      <c r="AB38" s="1728" t="e">
        <f t="shared" si="4"/>
        <v>#N/A</v>
      </c>
      <c r="AC38" s="1728" t="e">
        <f t="shared" si="5"/>
        <v>#N/A</v>
      </c>
    </row>
    <row r="39" spans="1:29" ht="15">
      <c r="A39" s="1771"/>
      <c r="B39" s="1695" t="s">
        <v>2450</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1"/>
      <c r="L39" s="3000"/>
      <c r="M39" s="2996"/>
      <c r="N39" s="2996"/>
      <c r="O39" s="3044"/>
      <c r="P39" s="3707"/>
      <c r="Q39" s="1616" t="str">
        <f t="shared" ref="Q39:Q45" si="14">B39</f>
        <v>宗地形状</v>
      </c>
      <c r="R39" s="1725" t="s">
        <v>25</v>
      </c>
      <c r="S39" s="1726">
        <f t="shared" si="10"/>
        <v>100</v>
      </c>
      <c r="T39" s="1725" t="s">
        <v>25</v>
      </c>
      <c r="U39" s="1726">
        <f t="shared" si="11"/>
        <v>100</v>
      </c>
      <c r="V39" s="1725" t="s">
        <v>25</v>
      </c>
      <c r="W39" s="1726">
        <f t="shared" si="12"/>
        <v>100</v>
      </c>
      <c r="X39" s="1666"/>
      <c r="Y39" s="3707"/>
      <c r="Z39" s="1727" t="str">
        <f t="shared" si="13"/>
        <v>宗地形状</v>
      </c>
      <c r="AA39" s="1728">
        <f t="shared" si="3"/>
        <v>1</v>
      </c>
      <c r="AB39" s="1728">
        <f t="shared" si="4"/>
        <v>1</v>
      </c>
      <c r="AC39" s="1728">
        <f t="shared" si="5"/>
        <v>1</v>
      </c>
    </row>
    <row r="40" spans="1:29" ht="15">
      <c r="A40" s="1771"/>
      <c r="B40" s="1695" t="s">
        <v>2451</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1"/>
      <c r="L40" s="3000"/>
      <c r="M40" s="2996"/>
      <c r="N40" s="2996"/>
      <c r="O40" s="3044"/>
      <c r="P40" s="3707"/>
      <c r="Q40" s="1616" t="str">
        <f t="shared" si="14"/>
        <v>临街宽度及深度</v>
      </c>
      <c r="R40" s="1725" t="s">
        <v>25</v>
      </c>
      <c r="S40" s="1726">
        <f t="shared" si="10"/>
        <v>100</v>
      </c>
      <c r="T40" s="1725" t="s">
        <v>25</v>
      </c>
      <c r="U40" s="1726">
        <f t="shared" si="11"/>
        <v>100</v>
      </c>
      <c r="V40" s="1725" t="s">
        <v>25</v>
      </c>
      <c r="W40" s="1726">
        <f t="shared" si="12"/>
        <v>100</v>
      </c>
      <c r="X40" s="1666"/>
      <c r="Y40" s="3707"/>
      <c r="Z40" s="1727" t="str">
        <f t="shared" si="13"/>
        <v>临街宽度及深度</v>
      </c>
      <c r="AA40" s="1728">
        <f t="shared" si="3"/>
        <v>1</v>
      </c>
      <c r="AB40" s="1728">
        <f t="shared" si="4"/>
        <v>1</v>
      </c>
      <c r="AC40" s="1728">
        <f t="shared" si="5"/>
        <v>1</v>
      </c>
    </row>
    <row r="41" spans="1:29" s="1685" customFormat="1" ht="15">
      <c r="A41" s="1774"/>
      <c r="B41" s="1695" t="s">
        <v>2452</v>
      </c>
      <c r="C41" s="2001"/>
      <c r="D41" s="1697">
        <v>100</v>
      </c>
      <c r="E41" s="2001"/>
      <c r="F41" s="1711">
        <f>SUMIF(123:123,E41,124:124)-SUMIF(123:123,C41,124:124)+100</f>
        <v>100</v>
      </c>
      <c r="G41" s="2001"/>
      <c r="H41" s="1711">
        <f>SUMIF(123:123,G41,124:124)-SUMIF(123:123,C41,124:124)+100</f>
        <v>100</v>
      </c>
      <c r="I41" s="2001"/>
      <c r="J41" s="1711">
        <f>SUMIF(123:123,I41,124:124)-SUMIF(123:123,C41,124:124)+100</f>
        <v>100</v>
      </c>
      <c r="K41" s="1991"/>
      <c r="L41" s="2995"/>
      <c r="M41" s="2968"/>
      <c r="N41" s="2968"/>
      <c r="O41" s="3042"/>
      <c r="P41" s="3707"/>
      <c r="Q41" s="1616" t="str">
        <f t="shared" si="14"/>
        <v>宗地开发程度</v>
      </c>
      <c r="R41" s="1681" t="s">
        <v>25</v>
      </c>
      <c r="S41" s="1682">
        <f t="shared" si="10"/>
        <v>100</v>
      </c>
      <c r="T41" s="1681" t="s">
        <v>25</v>
      </c>
      <c r="U41" s="1682">
        <f t="shared" si="11"/>
        <v>100</v>
      </c>
      <c r="V41" s="1681" t="s">
        <v>25</v>
      </c>
      <c r="W41" s="1682">
        <f t="shared" si="12"/>
        <v>100</v>
      </c>
      <c r="X41" s="1683"/>
      <c r="Y41" s="3707"/>
      <c r="Z41" s="1693" t="str">
        <f t="shared" si="13"/>
        <v>宗地开发程度</v>
      </c>
      <c r="AA41" s="1684">
        <f t="shared" si="3"/>
        <v>1</v>
      </c>
      <c r="AB41" s="1684">
        <f t="shared" si="4"/>
        <v>1</v>
      </c>
      <c r="AC41" s="1684">
        <f t="shared" si="5"/>
        <v>1</v>
      </c>
    </row>
    <row r="42" spans="1:29" ht="15">
      <c r="A42" s="1771"/>
      <c r="B42" s="1695" t="s">
        <v>2453</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1"/>
      <c r="L42" s="3000"/>
      <c r="M42" s="2996"/>
      <c r="N42" s="2996"/>
      <c r="O42" s="3044"/>
      <c r="P42" s="3707" t="s">
        <v>2275</v>
      </c>
      <c r="Q42" s="1616" t="str">
        <f t="shared" si="14"/>
        <v>工程地质条件</v>
      </c>
      <c r="R42" s="1725" t="s">
        <v>25</v>
      </c>
      <c r="S42" s="1726">
        <f t="shared" si="10"/>
        <v>100</v>
      </c>
      <c r="T42" s="1725" t="s">
        <v>25</v>
      </c>
      <c r="U42" s="1726">
        <f t="shared" si="11"/>
        <v>100</v>
      </c>
      <c r="V42" s="1725" t="s">
        <v>25</v>
      </c>
      <c r="W42" s="1726">
        <f t="shared" si="12"/>
        <v>100</v>
      </c>
      <c r="X42" s="1666"/>
      <c r="Y42" s="3707" t="s">
        <v>2275</v>
      </c>
      <c r="Z42" s="1727" t="str">
        <f t="shared" si="13"/>
        <v>工程地质条件</v>
      </c>
      <c r="AA42" s="1728">
        <f t="shared" si="3"/>
        <v>1</v>
      </c>
      <c r="AB42" s="1728">
        <f t="shared" si="4"/>
        <v>1</v>
      </c>
      <c r="AC42" s="1728">
        <f t="shared" si="5"/>
        <v>1</v>
      </c>
    </row>
    <row r="43" spans="1:29" ht="15">
      <c r="A43" s="1771"/>
      <c r="B43" s="2002">
        <v>111</v>
      </c>
      <c r="C43" s="1970"/>
      <c r="D43" s="1711">
        <v>100</v>
      </c>
      <c r="E43" s="1970"/>
      <c r="F43" s="1711">
        <f>SUMIF(127:127,E43,128:128)-SUMIF(127:127,C43,128:128)+100</f>
        <v>100</v>
      </c>
      <c r="G43" s="1970"/>
      <c r="H43" s="1711">
        <f>SUMIF(127:127,G43,128:128)-SUMIF(127:127,C43,128:128)+100</f>
        <v>100</v>
      </c>
      <c r="I43" s="1866"/>
      <c r="J43" s="1711">
        <f>SUMIF(127:127,I43,128:128)-SUMIF(127:127,C43,128:128)+100</f>
        <v>100</v>
      </c>
      <c r="K43" s="1988"/>
      <c r="L43" s="3000"/>
      <c r="M43" s="2996"/>
      <c r="N43" s="2996"/>
      <c r="O43" s="3044"/>
      <c r="P43" s="3707"/>
      <c r="Q43" s="1616">
        <f t="shared" si="14"/>
        <v>111</v>
      </c>
      <c r="R43" s="1725" t="s">
        <v>25</v>
      </c>
      <c r="S43" s="1726">
        <f t="shared" si="10"/>
        <v>100</v>
      </c>
      <c r="T43" s="1725" t="s">
        <v>25</v>
      </c>
      <c r="U43" s="1726">
        <f t="shared" si="11"/>
        <v>100</v>
      </c>
      <c r="V43" s="1725" t="s">
        <v>25</v>
      </c>
      <c r="W43" s="1726">
        <f t="shared" si="12"/>
        <v>100</v>
      </c>
      <c r="X43" s="1666"/>
      <c r="Y43" s="3707"/>
      <c r="Z43" s="1727">
        <f t="shared" si="13"/>
        <v>111</v>
      </c>
      <c r="AA43" s="1728">
        <f t="shared" si="3"/>
        <v>1</v>
      </c>
      <c r="AB43" s="1728">
        <f t="shared" si="4"/>
        <v>1</v>
      </c>
      <c r="AC43" s="1728">
        <f t="shared" si="5"/>
        <v>1</v>
      </c>
    </row>
    <row r="44" spans="1:29" ht="15">
      <c r="A44" s="1771"/>
      <c r="B44" s="2002">
        <v>111</v>
      </c>
      <c r="C44" s="1970"/>
      <c r="D44" s="1711">
        <v>100</v>
      </c>
      <c r="E44" s="1970"/>
      <c r="F44" s="1711">
        <f>SUMIF(129:129,E44,130:130)-SUMIF(129:129,C44,130:130)+100</f>
        <v>100</v>
      </c>
      <c r="G44" s="1970"/>
      <c r="H44" s="1711">
        <f>SUMIF(129:129,G44,130:130)-SUMIF(129:129,C44,130:130)+100</f>
        <v>100</v>
      </c>
      <c r="I44" s="1866"/>
      <c r="J44" s="1711">
        <f>SUMIF(129:129,I44,130:130)-SUMIF(129:129,C44,130:130)+100</f>
        <v>100</v>
      </c>
      <c r="K44" s="1988"/>
      <c r="L44" s="3000"/>
      <c r="M44" s="2996"/>
      <c r="N44" s="2996"/>
      <c r="O44" s="3044"/>
      <c r="P44" s="3707"/>
      <c r="Q44" s="1616">
        <f t="shared" si="14"/>
        <v>111</v>
      </c>
      <c r="R44" s="1725" t="s">
        <v>25</v>
      </c>
      <c r="S44" s="1726">
        <f t="shared" si="10"/>
        <v>100</v>
      </c>
      <c r="T44" s="1725" t="s">
        <v>25</v>
      </c>
      <c r="U44" s="1726">
        <f t="shared" si="11"/>
        <v>100</v>
      </c>
      <c r="V44" s="1725" t="s">
        <v>25</v>
      </c>
      <c r="W44" s="1726">
        <f t="shared" si="12"/>
        <v>100</v>
      </c>
      <c r="X44" s="1666"/>
      <c r="Y44" s="3707"/>
      <c r="Z44" s="1727">
        <f t="shared" si="13"/>
        <v>111</v>
      </c>
      <c r="AA44" s="1728">
        <f t="shared" si="3"/>
        <v>1</v>
      </c>
      <c r="AB44" s="1728">
        <f t="shared" si="4"/>
        <v>1</v>
      </c>
      <c r="AC44" s="1728">
        <f t="shared" si="5"/>
        <v>1</v>
      </c>
    </row>
    <row r="45" spans="1:29" s="1770" customFormat="1" ht="15.75" thickBot="1">
      <c r="A45" s="1763"/>
      <c r="B45" s="2002">
        <v>111</v>
      </c>
      <c r="C45" s="2003"/>
      <c r="D45" s="3144">
        <v>100</v>
      </c>
      <c r="E45" s="1970"/>
      <c r="F45" s="1715">
        <f>SUMIF(131:131,E45,132:132)-SUMIF(131:131,C45,132:132)+100</f>
        <v>100</v>
      </c>
      <c r="G45" s="1970"/>
      <c r="H45" s="1715">
        <f>SUMIF(131:131,G45,132:132)-SUMIF(131:131,C45,132:132)+100</f>
        <v>100</v>
      </c>
      <c r="I45" s="1970"/>
      <c r="J45" s="1715">
        <f>SUMIF(131:131,I45,132:132)-SUMIF(131:131,C45,132:132)+100</f>
        <v>100</v>
      </c>
      <c r="K45" s="2004"/>
      <c r="L45" s="2999"/>
      <c r="M45" s="2058"/>
      <c r="N45" s="2058"/>
      <c r="O45" s="3045"/>
      <c r="P45" s="3707"/>
      <c r="Q45" s="1616">
        <f t="shared" si="14"/>
        <v>111</v>
      </c>
      <c r="R45" s="1766" t="s">
        <v>25</v>
      </c>
      <c r="S45" s="1767">
        <f t="shared" si="10"/>
        <v>100</v>
      </c>
      <c r="T45" s="1766" t="s">
        <v>25</v>
      </c>
      <c r="U45" s="1767">
        <f t="shared" si="11"/>
        <v>100</v>
      </c>
      <c r="V45" s="1766" t="s">
        <v>25</v>
      </c>
      <c r="W45" s="1767">
        <f t="shared" si="12"/>
        <v>100</v>
      </c>
      <c r="X45" s="1768"/>
      <c r="Y45" s="3707"/>
      <c r="Z45" s="1769">
        <f t="shared" si="13"/>
        <v>111</v>
      </c>
      <c r="AA45" s="1728">
        <f t="shared" si="3"/>
        <v>1</v>
      </c>
      <c r="AB45" s="1728">
        <f t="shared" si="4"/>
        <v>1</v>
      </c>
      <c r="AC45" s="1728">
        <f t="shared" si="5"/>
        <v>1</v>
      </c>
    </row>
    <row r="46" spans="1:29" ht="15">
      <c r="A46" s="1780" t="s">
        <v>2417</v>
      </c>
      <c r="B46" s="2005" t="s">
        <v>2454</v>
      </c>
      <c r="C46" s="2006" t="s">
        <v>1</v>
      </c>
      <c r="D46" s="2007"/>
      <c r="E46" s="2008"/>
      <c r="F46" s="2009"/>
      <c r="G46" s="2010"/>
      <c r="H46" s="2011"/>
      <c r="I46" s="2008"/>
      <c r="J46" s="2011"/>
      <c r="K46" s="2012"/>
      <c r="L46" s="3001"/>
      <c r="N46" s="2996"/>
      <c r="P46" s="3699" t="str">
        <f>A46</f>
        <v>成交单价</v>
      </c>
      <c r="Q46" s="3699"/>
      <c r="R46" s="3736">
        <f>E46</f>
        <v>0</v>
      </c>
      <c r="S46" s="3736"/>
      <c r="T46" s="3736">
        <f>G46</f>
        <v>0</v>
      </c>
      <c r="U46" s="3736"/>
      <c r="V46" s="3736">
        <f>I46</f>
        <v>0</v>
      </c>
      <c r="W46" s="3736"/>
      <c r="X46" s="1790"/>
      <c r="Y46" s="1791"/>
      <c r="Z46" s="1790"/>
      <c r="AA46" s="1790"/>
      <c r="AB46" s="1790"/>
      <c r="AC46" s="1790"/>
    </row>
    <row r="47" spans="1:29" ht="15.75" thickBot="1">
      <c r="A47" s="1792" t="s">
        <v>2370</v>
      </c>
      <c r="B47" s="2013"/>
      <c r="C47" s="2014" t="e">
        <f>R48</f>
        <v>#DIV/0!</v>
      </c>
      <c r="D47" s="1795" t="s">
        <v>2744</v>
      </c>
      <c r="E47" s="2014" t="e">
        <f>R47</f>
        <v>#DIV/0!</v>
      </c>
      <c r="F47" s="1797"/>
      <c r="G47" s="2015" t="e">
        <f>T47</f>
        <v>#DIV/0!</v>
      </c>
      <c r="H47" s="1797"/>
      <c r="I47" s="2014" t="e">
        <f>V47</f>
        <v>#DIV/0!</v>
      </c>
      <c r="J47" s="1797"/>
      <c r="K47" s="2509">
        <f>F47+H47+J47</f>
        <v>0</v>
      </c>
      <c r="L47" s="3001"/>
      <c r="P47" s="3699" t="str">
        <f>A47</f>
        <v>比较价值（元/平方米）</v>
      </c>
      <c r="Q47" s="3699"/>
      <c r="R47" s="3786" t="e">
        <f>ROUND(PRODUCT(R46,AA7:AA45),0)</f>
        <v>#DIV/0!</v>
      </c>
      <c r="S47" s="3786"/>
      <c r="T47" s="3786" t="e">
        <f>ROUND(PRODUCT(T46,AB7:AB45),0)</f>
        <v>#DIV/0!</v>
      </c>
      <c r="U47" s="3786"/>
      <c r="V47" s="3786" t="e">
        <f>ROUND(PRODUCT(V46,AC7:AC45),0)</f>
        <v>#DIV/0!</v>
      </c>
      <c r="W47" s="3786"/>
      <c r="X47" s="1790"/>
      <c r="Y47" s="1790"/>
      <c r="Z47" s="1790"/>
      <c r="AA47" s="1790"/>
      <c r="AB47" s="1790"/>
      <c r="AC47" s="1790"/>
    </row>
    <row r="48" spans="1:29" ht="15.75" thickBot="1">
      <c r="A48" s="1798" t="s">
        <v>2393</v>
      </c>
      <c r="B48" s="1799"/>
      <c r="C48" s="2016" t="e">
        <f>R48</f>
        <v>#DIV/0!</v>
      </c>
      <c r="D48" s="2016"/>
      <c r="E48" s="2016"/>
      <c r="F48" s="2016"/>
      <c r="G48" s="2016"/>
      <c r="H48" s="2016"/>
      <c r="I48" s="2016"/>
      <c r="J48" s="2016"/>
      <c r="K48" s="2017"/>
      <c r="L48" s="3001"/>
      <c r="P48" s="3696" t="str">
        <f>A48</f>
        <v>估价对象XX用房的比较价值（楼面单价，元/平方米）</v>
      </c>
      <c r="Q48" s="3697"/>
      <c r="R48" s="3787" t="e">
        <f>ROUND(IF(D47="简单平均",AVERAGE(R47:W47),R47*F47+T47*H47+V47*J47),0)</f>
        <v>#DIV/0!</v>
      </c>
      <c r="S48" s="3787"/>
      <c r="T48" s="3787"/>
      <c r="U48" s="3787"/>
      <c r="V48" s="3787"/>
      <c r="W48" s="3787"/>
      <c r="X48" s="1790"/>
      <c r="Y48" s="1790"/>
      <c r="Z48" s="1790"/>
      <c r="AA48" s="1790"/>
      <c r="AB48" s="1790"/>
      <c r="AC48" s="1790"/>
    </row>
    <row r="49" spans="1:14">
      <c r="G49" s="3005"/>
    </row>
    <row r="51" spans="1:14" ht="13.5" customHeight="1">
      <c r="C51" s="383" t="s">
        <v>2372</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2373</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2374</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8"/>
      <c r="L53" s="3002"/>
    </row>
    <row r="54" spans="1:14" s="1812" customFormat="1" ht="15" thickBot="1">
      <c r="B54" s="3006"/>
      <c r="C54" s="3007"/>
      <c r="K54" s="3008"/>
      <c r="L54" s="3002"/>
    </row>
    <row r="55" spans="1:14" ht="27">
      <c r="A55" s="564" t="s">
        <v>2455</v>
      </c>
      <c r="B55" s="2018" t="s">
        <v>2456</v>
      </c>
      <c r="C55" s="2019" t="s">
        <v>2457</v>
      </c>
      <c r="D55" s="2020" t="s">
        <v>2458</v>
      </c>
      <c r="E55" s="2021" t="s">
        <v>2459</v>
      </c>
      <c r="F55" s="2022" t="s">
        <v>2460</v>
      </c>
      <c r="G55" s="1917" t="s">
        <v>2461</v>
      </c>
      <c r="H55" s="1917" t="str">
        <f>项目基本情况!G8</f>
        <v>XX</v>
      </c>
      <c r="I55" s="1594" t="s">
        <v>2462</v>
      </c>
      <c r="J55" s="2023"/>
      <c r="K55" s="1804"/>
    </row>
    <row r="56" spans="1:14" s="2030" customFormat="1">
      <c r="A56" s="2024" t="s">
        <v>2463</v>
      </c>
      <c r="B56" s="2025" t="e">
        <f>C48</f>
        <v>#DIV/0!</v>
      </c>
      <c r="C56" s="280">
        <v>1</v>
      </c>
      <c r="D56" s="2026">
        <v>1</v>
      </c>
      <c r="E56" s="2027">
        <v>120</v>
      </c>
      <c r="F56" s="2028" t="e">
        <f t="shared" ref="F56:F65" si="15">ROUND(B56*E56,0)</f>
        <v>#DIV/0!</v>
      </c>
      <c r="G56" s="2029">
        <v>1</v>
      </c>
      <c r="H56" s="2029">
        <v>1</v>
      </c>
      <c r="I56" s="1812"/>
      <c r="J56" s="1812"/>
      <c r="K56" s="3008"/>
      <c r="L56" s="3002"/>
      <c r="M56" s="1812"/>
      <c r="N56" s="1812"/>
    </row>
    <row r="57" spans="1:14" s="2030" customFormat="1">
      <c r="A57" s="2031" t="s">
        <v>2464</v>
      </c>
      <c r="B57" s="2032" t="e">
        <f>ROUND($C$48*C57*D57,0)</f>
        <v>#DIV/0!</v>
      </c>
      <c r="C57" s="50">
        <f>IF($C$55="北京市系数",G57,H57)</f>
        <v>0</v>
      </c>
      <c r="D57" s="2033">
        <v>0.25</v>
      </c>
      <c r="E57" s="2027">
        <v>0</v>
      </c>
      <c r="F57" s="2028" t="e">
        <f t="shared" si="15"/>
        <v>#DIV/0!</v>
      </c>
      <c r="G57" s="2029">
        <f>SUMIF(修正!$A$45:$A$56,项目基本情况!$F$9,修正!B45:B56)</f>
        <v>0</v>
      </c>
      <c r="H57" s="2034"/>
      <c r="I57" s="1667"/>
      <c r="J57" s="1908"/>
      <c r="K57" s="1909"/>
      <c r="L57" s="1909"/>
      <c r="M57" s="1667"/>
      <c r="N57" s="1667"/>
    </row>
    <row r="58" spans="1:14" s="2030" customFormat="1">
      <c r="A58" s="2031" t="s">
        <v>2465</v>
      </c>
      <c r="B58" s="2032" t="e">
        <f t="shared" ref="B58:B65" si="16">ROUND($C$48*C58*D58,0)</f>
        <v>#DIV/0!</v>
      </c>
      <c r="C58" s="50">
        <f t="shared" ref="C58:C65" si="17">IF($C$55="北京市系数",G58,H58)</f>
        <v>0</v>
      </c>
      <c r="D58" s="2033">
        <v>0.25</v>
      </c>
      <c r="E58" s="2027">
        <v>0</v>
      </c>
      <c r="F58" s="2028" t="e">
        <f t="shared" si="15"/>
        <v>#DIV/0!</v>
      </c>
      <c r="G58" s="2029">
        <f>SUMIF(修正!$A$45:$A$56,项目基本情况!$F$9,修正!C45:C56)</f>
        <v>0</v>
      </c>
      <c r="H58" s="2034"/>
      <c r="I58" s="1812"/>
      <c r="J58" s="1812"/>
      <c r="K58" s="3008"/>
      <c r="L58" s="3002"/>
      <c r="M58" s="1812"/>
      <c r="N58" s="1812"/>
    </row>
    <row r="59" spans="1:14" s="2030" customFormat="1">
      <c r="A59" s="2031" t="s">
        <v>2466</v>
      </c>
      <c r="B59" s="2032" t="e">
        <f t="shared" si="16"/>
        <v>#DIV/0!</v>
      </c>
      <c r="C59" s="50">
        <f t="shared" si="17"/>
        <v>0</v>
      </c>
      <c r="D59" s="2033">
        <v>0.25</v>
      </c>
      <c r="E59" s="2027">
        <v>0</v>
      </c>
      <c r="F59" s="2028" t="e">
        <f t="shared" si="15"/>
        <v>#DIV/0!</v>
      </c>
      <c r="G59" s="2029">
        <f>SUMIF(修正!$A$45:$A$56,项目基本情况!$F$9,修正!D45:D56)</f>
        <v>0</v>
      </c>
      <c r="H59" s="2034"/>
      <c r="I59" s="1667"/>
      <c r="J59" s="1908"/>
      <c r="K59" s="1909"/>
      <c r="L59" s="1909"/>
      <c r="M59" s="1667"/>
      <c r="N59" s="1667"/>
    </row>
    <row r="60" spans="1:14" s="2030" customFormat="1">
      <c r="A60" s="2031" t="s">
        <v>2467</v>
      </c>
      <c r="B60" s="2032" t="e">
        <f t="shared" si="16"/>
        <v>#DIV/0!</v>
      </c>
      <c r="C60" s="50">
        <f t="shared" si="17"/>
        <v>0</v>
      </c>
      <c r="D60" s="2033">
        <v>0.25</v>
      </c>
      <c r="E60" s="2027">
        <v>0</v>
      </c>
      <c r="F60" s="2028" t="e">
        <f t="shared" si="15"/>
        <v>#DIV/0!</v>
      </c>
      <c r="G60" s="2029">
        <f>SUMIF(修正!$A$45:$A$56,项目基本情况!$F$9,修正!E45:E56)</f>
        <v>0</v>
      </c>
      <c r="H60" s="2034"/>
      <c r="I60" s="1812"/>
      <c r="J60" s="1812"/>
      <c r="K60" s="3008"/>
      <c r="L60" s="3002"/>
      <c r="M60" s="1812"/>
      <c r="N60" s="1812"/>
    </row>
    <row r="61" spans="1:14" s="2030" customFormat="1">
      <c r="A61" s="2031" t="s">
        <v>2468</v>
      </c>
      <c r="B61" s="2032" t="e">
        <f t="shared" si="16"/>
        <v>#DIV/0!</v>
      </c>
      <c r="C61" s="50">
        <f t="shared" si="17"/>
        <v>0</v>
      </c>
      <c r="D61" s="2033">
        <v>0.25</v>
      </c>
      <c r="E61" s="2027">
        <v>0</v>
      </c>
      <c r="F61" s="2028" t="e">
        <f t="shared" si="15"/>
        <v>#DIV/0!</v>
      </c>
      <c r="G61" s="2029">
        <f>SUMIF(修正!A45:A56,项目基本情况!F9,修正!F45:F56)</f>
        <v>0</v>
      </c>
      <c r="H61" s="2034"/>
      <c r="I61" s="1667"/>
      <c r="J61" s="1908"/>
      <c r="K61" s="1909"/>
      <c r="L61" s="1909"/>
      <c r="M61" s="1667"/>
      <c r="N61" s="1667"/>
    </row>
    <row r="62" spans="1:14" s="2030" customFormat="1">
      <c r="A62" s="2031" t="s">
        <v>2469</v>
      </c>
      <c r="B62" s="2032" t="e">
        <f t="shared" si="16"/>
        <v>#DIV/0!</v>
      </c>
      <c r="C62" s="50">
        <f t="shared" si="17"/>
        <v>0</v>
      </c>
      <c r="D62" s="2033">
        <v>0.25</v>
      </c>
      <c r="E62" s="2027">
        <v>0</v>
      </c>
      <c r="F62" s="2028" t="e">
        <f t="shared" si="15"/>
        <v>#DIV/0!</v>
      </c>
      <c r="G62" s="2029">
        <f>SUMIF(修正!A45:A56,项目基本情况!F9,修正!G45:G56)</f>
        <v>0</v>
      </c>
      <c r="H62" s="2034"/>
      <c r="I62" s="1812"/>
      <c r="J62" s="1812"/>
      <c r="K62" s="3008"/>
      <c r="L62" s="3002"/>
      <c r="M62" s="1812"/>
      <c r="N62" s="1812"/>
    </row>
    <row r="63" spans="1:14" s="2030" customFormat="1">
      <c r="A63" s="2031" t="s">
        <v>2470</v>
      </c>
      <c r="B63" s="2032" t="e">
        <f t="shared" si="16"/>
        <v>#DIV/0!</v>
      </c>
      <c r="C63" s="50">
        <f>IF($C$55="北京市系数",G63,H63)</f>
        <v>0</v>
      </c>
      <c r="D63" s="2033">
        <v>0.25</v>
      </c>
      <c r="E63" s="2027">
        <v>0</v>
      </c>
      <c r="F63" s="2028" t="e">
        <f t="shared" si="15"/>
        <v>#DIV/0!</v>
      </c>
      <c r="G63" s="2029">
        <f>SUMIF(修正!A45:A56,项目基本情况!F9,修正!H45:H56)</f>
        <v>0</v>
      </c>
      <c r="H63" s="2034"/>
      <c r="I63" s="1667"/>
      <c r="J63" s="1908"/>
      <c r="K63" s="1909"/>
      <c r="L63" s="1909"/>
      <c r="M63" s="1667"/>
      <c r="N63" s="1667"/>
    </row>
    <row r="64" spans="1:14" s="2030" customFormat="1">
      <c r="A64" s="2031" t="s">
        <v>2471</v>
      </c>
      <c r="B64" s="2032" t="e">
        <f t="shared" si="16"/>
        <v>#DIV/0!</v>
      </c>
      <c r="C64" s="50">
        <f t="shared" si="17"/>
        <v>0</v>
      </c>
      <c r="D64" s="2033">
        <v>0.25</v>
      </c>
      <c r="E64" s="2027">
        <v>0</v>
      </c>
      <c r="F64" s="2028" t="e">
        <f t="shared" si="15"/>
        <v>#DIV/0!</v>
      </c>
      <c r="G64" s="2029">
        <f>G63</f>
        <v>0</v>
      </c>
      <c r="H64" s="2034"/>
      <c r="I64" s="1812"/>
      <c r="J64" s="1812"/>
      <c r="K64" s="3008"/>
      <c r="L64" s="3002"/>
      <c r="M64" s="1812"/>
      <c r="N64" s="1812"/>
    </row>
    <row r="65" spans="1:17" s="2030" customFormat="1">
      <c r="A65" s="2031" t="s">
        <v>2472</v>
      </c>
      <c r="B65" s="2032" t="e">
        <f t="shared" si="16"/>
        <v>#DIV/0!</v>
      </c>
      <c r="C65" s="50">
        <f t="shared" si="17"/>
        <v>0</v>
      </c>
      <c r="D65" s="2033">
        <v>0.25</v>
      </c>
      <c r="E65" s="2027">
        <v>0</v>
      </c>
      <c r="F65" s="2028" t="e">
        <f t="shared" si="15"/>
        <v>#DIV/0!</v>
      </c>
      <c r="G65" s="2029">
        <f>G63</f>
        <v>0</v>
      </c>
      <c r="H65" s="2034"/>
      <c r="I65" s="1667"/>
      <c r="J65" s="1908"/>
      <c r="K65" s="1909"/>
      <c r="L65" s="1909"/>
      <c r="M65" s="1667"/>
      <c r="N65" s="1667"/>
    </row>
    <row r="66" spans="1:17" s="2030" customFormat="1" ht="13.5" thickBot="1">
      <c r="A66" s="2035" t="s">
        <v>2473</v>
      </c>
      <c r="B66" s="2036" t="s">
        <v>39</v>
      </c>
      <c r="C66" s="2036" t="s">
        <v>40</v>
      </c>
      <c r="D66" s="2036" t="s">
        <v>36</v>
      </c>
      <c r="E66" s="2036">
        <f>SUM(E56:E65)</f>
        <v>120</v>
      </c>
      <c r="F66" s="2037" t="e">
        <f>SUM(F56:F65)</f>
        <v>#DIV/0!</v>
      </c>
      <c r="G66" s="2038"/>
      <c r="H66" s="2038"/>
      <c r="I66" s="3046"/>
      <c r="J66" s="3046"/>
      <c r="K66" s="3046"/>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2009-7-1</v>
      </c>
      <c r="D68" s="2039">
        <f>EDATE(C68,-3)</f>
        <v>39904</v>
      </c>
      <c r="E68" s="2039">
        <f t="shared" ref="E68:O68" si="18">EDATE(D68,-3)</f>
        <v>39814</v>
      </c>
      <c r="F68" s="2039">
        <f t="shared" si="18"/>
        <v>39722</v>
      </c>
      <c r="G68" s="2039">
        <f t="shared" si="18"/>
        <v>39630</v>
      </c>
      <c r="H68" s="2039">
        <f t="shared" si="18"/>
        <v>39539</v>
      </c>
      <c r="I68" s="2039">
        <f t="shared" si="18"/>
        <v>39448</v>
      </c>
      <c r="J68" s="2039">
        <f t="shared" si="18"/>
        <v>39356</v>
      </c>
      <c r="K68" s="2039">
        <f t="shared" si="18"/>
        <v>39264</v>
      </c>
      <c r="L68" s="2039">
        <f t="shared" si="18"/>
        <v>39173</v>
      </c>
      <c r="M68" s="2039">
        <f t="shared" si="18"/>
        <v>39083</v>
      </c>
      <c r="N68" s="2039">
        <f t="shared" si="18"/>
        <v>38991</v>
      </c>
      <c r="O68" s="2039">
        <f t="shared" si="18"/>
        <v>38899</v>
      </c>
    </row>
    <row r="69" spans="1:17" ht="21.75" thickBot="1">
      <c r="A69" s="1815" t="s">
        <v>2375</v>
      </c>
      <c r="B69" s="1790"/>
      <c r="C69" s="1816"/>
      <c r="D69" s="1816"/>
      <c r="E69" s="1816"/>
      <c r="F69" s="1816"/>
      <c r="G69" s="1816"/>
      <c r="H69" s="1816"/>
      <c r="I69" s="2041"/>
      <c r="J69" s="2041"/>
      <c r="K69" s="2042"/>
      <c r="L69" s="2043"/>
      <c r="M69" s="2041"/>
      <c r="N69" s="2041"/>
      <c r="O69" s="2041"/>
      <c r="P69" s="2044"/>
      <c r="Q69" s="1820"/>
    </row>
    <row r="70" spans="1:17" s="2049" customFormat="1" ht="15">
      <c r="A70" s="2045" t="s">
        <v>2474</v>
      </c>
      <c r="B70" s="2046"/>
      <c r="C70" s="2047" t="str">
        <f>YEAR(C68)&amp;"-"&amp;ROUNDUP(MONTH(C68)/3,0)</f>
        <v>2009-3</v>
      </c>
      <c r="D70" s="2047" t="str">
        <f>YEAR(D68)&amp;"-"&amp;ROUNDUP(MONTH(D68)/3,0)</f>
        <v>2009-2</v>
      </c>
      <c r="E70" s="2047" t="str">
        <f t="shared" ref="E70:O70" si="19">YEAR(E68)&amp;"-"&amp;ROUNDUP(MONTH(E68)/3,0)</f>
        <v>2009-1</v>
      </c>
      <c r="F70" s="2047" t="str">
        <f t="shared" si="19"/>
        <v>2008-4</v>
      </c>
      <c r="G70" s="2047" t="str">
        <f t="shared" si="19"/>
        <v>2008-3</v>
      </c>
      <c r="H70" s="2047" t="str">
        <f t="shared" si="19"/>
        <v>2008-2</v>
      </c>
      <c r="I70" s="2047" t="str">
        <f t="shared" si="19"/>
        <v>2008-1</v>
      </c>
      <c r="J70" s="2047" t="str">
        <f t="shared" si="19"/>
        <v>2007-4</v>
      </c>
      <c r="K70" s="2047" t="str">
        <f t="shared" si="19"/>
        <v>2007-3</v>
      </c>
      <c r="L70" s="2047" t="str">
        <f t="shared" si="19"/>
        <v>2007-2</v>
      </c>
      <c r="M70" s="2047" t="str">
        <f t="shared" si="19"/>
        <v>2007-1</v>
      </c>
      <c r="N70" s="2047" t="str">
        <f t="shared" si="19"/>
        <v>2006-4</v>
      </c>
      <c r="O70" s="2047" t="str">
        <f t="shared" si="19"/>
        <v>2006-3</v>
      </c>
      <c r="P70" s="2048"/>
    </row>
    <row r="71" spans="1:17" s="1685" customFormat="1" ht="29.25" customHeight="1">
      <c r="A71" s="2050" t="s">
        <v>2475</v>
      </c>
      <c r="B71" s="2051" t="str">
        <f>"北京市平均增长率"&amp;TEXT(SUMIF(基准地价修正!N21:N25,A71,基准地价修正!P21:P25),"0.00%")</f>
        <v>北京市平均增长率0.00%</v>
      </c>
      <c r="C71" s="1904">
        <v>100</v>
      </c>
      <c r="D71" s="1900"/>
      <c r="E71" s="1900"/>
      <c r="F71" s="1900"/>
      <c r="G71" s="1900"/>
      <c r="H71" s="1900"/>
      <c r="I71" s="1900"/>
      <c r="J71" s="1900"/>
      <c r="K71" s="1900"/>
      <c r="L71" s="1900"/>
      <c r="M71" s="2052"/>
      <c r="N71" s="1900"/>
      <c r="O71" s="2053"/>
      <c r="P71" s="1820"/>
    </row>
    <row r="72" spans="1:17" s="1685" customFormat="1" ht="15.75" thickBot="1">
      <c r="A72" s="1833" t="s">
        <v>2295</v>
      </c>
      <c r="B72" s="1834"/>
      <c r="C72" s="1835"/>
      <c r="D72" s="1836"/>
      <c r="E72" s="1836"/>
      <c r="F72" s="1836"/>
      <c r="G72" s="1836"/>
      <c r="H72" s="1836"/>
      <c r="I72" s="1836"/>
      <c r="J72" s="1836"/>
      <c r="K72" s="1836"/>
      <c r="L72" s="1836"/>
      <c r="M72" s="1837"/>
      <c r="N72" s="1836"/>
      <c r="O72" s="2054"/>
      <c r="P72" s="1820"/>
      <c r="Q72" s="1820"/>
    </row>
    <row r="73" spans="1:17" s="1685" customFormat="1" ht="15">
      <c r="A73" s="1838" t="s">
        <v>2260</v>
      </c>
      <c r="B73" s="1828"/>
      <c r="C73" s="1839" t="s">
        <v>2261</v>
      </c>
      <c r="D73" s="409"/>
      <c r="E73" s="409"/>
      <c r="F73" s="409"/>
      <c r="G73" s="409"/>
      <c r="H73" s="409"/>
      <c r="I73" s="409"/>
      <c r="J73" s="409"/>
      <c r="K73" s="409"/>
      <c r="L73" s="409"/>
      <c r="M73" s="1840"/>
      <c r="N73" s="3013"/>
      <c r="O73" s="3013"/>
      <c r="P73" s="2055"/>
      <c r="Q73" s="1820"/>
    </row>
    <row r="74" spans="1:17" s="1685" customFormat="1" ht="15.75" thickBot="1">
      <c r="A74" s="1838"/>
      <c r="B74" s="1828"/>
      <c r="C74" s="1829">
        <v>100</v>
      </c>
      <c r="D74" s="1830"/>
      <c r="E74" s="1830"/>
      <c r="F74" s="1830"/>
      <c r="G74" s="1830"/>
      <c r="H74" s="1830"/>
      <c r="I74" s="1830"/>
      <c r="J74" s="1830"/>
      <c r="K74" s="1830"/>
      <c r="L74" s="1830"/>
      <c r="M74" s="1844"/>
      <c r="N74" s="3013"/>
      <c r="O74" s="3013"/>
      <c r="P74" s="1820"/>
      <c r="Q74" s="1820"/>
    </row>
    <row r="75" spans="1:17">
      <c r="A75" s="1845" t="s">
        <v>2298</v>
      </c>
      <c r="B75" s="1846" t="s">
        <v>2264</v>
      </c>
      <c r="C75" s="1848"/>
      <c r="D75" s="1848"/>
      <c r="E75" s="1848"/>
      <c r="F75" s="1848"/>
      <c r="G75" s="1848"/>
      <c r="H75" s="1848"/>
      <c r="I75" s="1848"/>
      <c r="J75" s="1848"/>
      <c r="K75" s="417"/>
      <c r="L75" s="417"/>
      <c r="M75" s="1849"/>
      <c r="N75" s="3014"/>
      <c r="O75" s="3014"/>
      <c r="P75" s="2056"/>
      <c r="Q75" s="1820"/>
    </row>
    <row r="76" spans="1:17" ht="15.75" thickBot="1">
      <c r="A76" s="1852"/>
      <c r="B76" s="1853"/>
      <c r="C76" s="1854"/>
      <c r="D76" s="1854"/>
      <c r="E76" s="1854"/>
      <c r="F76" s="1854"/>
      <c r="G76" s="1854"/>
      <c r="H76" s="1854"/>
      <c r="I76" s="1854"/>
      <c r="J76" s="1854"/>
      <c r="K76" s="1854"/>
      <c r="L76" s="1854"/>
      <c r="M76" s="1855"/>
      <c r="N76" s="3015"/>
      <c r="O76" s="3015"/>
      <c r="P76" s="2056"/>
      <c r="Q76" s="1820"/>
    </row>
    <row r="77" spans="1:17" ht="27.75" thickTop="1">
      <c r="A77" s="1852"/>
      <c r="B77" s="1857" t="s">
        <v>2267</v>
      </c>
      <c r="C77" s="1858"/>
      <c r="D77" s="1858"/>
      <c r="E77" s="1858"/>
      <c r="F77" s="1858"/>
      <c r="G77" s="1858"/>
      <c r="H77" s="1858"/>
      <c r="I77" s="1858"/>
      <c r="J77" s="1858"/>
      <c r="K77" s="428"/>
      <c r="L77" s="428"/>
      <c r="M77" s="1859"/>
      <c r="N77" s="3014"/>
      <c r="O77" s="3014"/>
      <c r="P77" s="2056"/>
      <c r="Q77" s="1820"/>
    </row>
    <row r="78" spans="1:17" ht="15.75" thickBot="1">
      <c r="A78" s="1852"/>
      <c r="B78" s="1860"/>
      <c r="C78" s="1861"/>
      <c r="D78" s="1861"/>
      <c r="E78" s="1861"/>
      <c r="F78" s="1861"/>
      <c r="G78" s="1861"/>
      <c r="H78" s="1861"/>
      <c r="I78" s="1861"/>
      <c r="J78" s="1861"/>
      <c r="K78" s="1861"/>
      <c r="L78" s="1861"/>
      <c r="M78" s="1862"/>
      <c r="N78" s="3015"/>
      <c r="O78" s="3015"/>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1" t="str">
        <f>M80&amp;"（含）"&amp;"-"&amp;P80</f>
        <v>（含）-</v>
      </c>
      <c r="N79" s="3015"/>
      <c r="O79" s="3015"/>
      <c r="P79" s="2056"/>
      <c r="Q79" s="1820"/>
    </row>
    <row r="80" spans="1:17" ht="15">
      <c r="A80" s="1852"/>
      <c r="B80" s="1865"/>
      <c r="C80" s="1866"/>
      <c r="D80" s="1866"/>
      <c r="E80" s="1866"/>
      <c r="F80" s="1866"/>
      <c r="G80" s="1866"/>
      <c r="H80" s="1866"/>
      <c r="I80" s="1866"/>
      <c r="J80" s="1866"/>
      <c r="K80" s="438"/>
      <c r="L80" s="438"/>
      <c r="M80" s="1867"/>
      <c r="N80" s="3014"/>
      <c r="O80" s="3014"/>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5"/>
      <c r="O81" s="3015"/>
      <c r="P81" s="2056"/>
      <c r="Q81" s="1820"/>
    </row>
    <row r="82" spans="1:17" s="1770" customFormat="1" ht="15.75" thickTop="1">
      <c r="A82" s="1868"/>
      <c r="B82" s="1857" t="str">
        <f>B12</f>
        <v>配建</v>
      </c>
      <c r="C82" s="468"/>
      <c r="D82" s="468"/>
      <c r="E82" s="468"/>
      <c r="F82" s="468"/>
      <c r="G82" s="468"/>
      <c r="H82" s="443"/>
      <c r="I82" s="443"/>
      <c r="J82" s="443"/>
      <c r="K82" s="443"/>
      <c r="L82" s="443"/>
      <c r="M82" s="1869"/>
      <c r="N82" s="3016"/>
      <c r="O82" s="3016"/>
      <c r="P82" s="2057"/>
      <c r="Q82" s="1872"/>
    </row>
    <row r="83" spans="1:17" s="1770" customFormat="1" ht="15.75" thickBot="1">
      <c r="A83" s="1868"/>
      <c r="B83" s="1860"/>
      <c r="C83" s="1873"/>
      <c r="D83" s="1854"/>
      <c r="E83" s="1854"/>
      <c r="F83" s="1854"/>
      <c r="G83" s="1854"/>
      <c r="H83" s="1854"/>
      <c r="I83" s="1854"/>
      <c r="J83" s="1854"/>
      <c r="K83" s="1854"/>
      <c r="L83" s="1854"/>
      <c r="M83" s="1855"/>
      <c r="N83" s="3015"/>
      <c r="O83" s="3015"/>
      <c r="P83" s="2057"/>
      <c r="Q83" s="1872"/>
    </row>
    <row r="84" spans="1:17" s="1770" customFormat="1" ht="15.75" thickTop="1">
      <c r="A84" s="1868"/>
      <c r="B84" s="1857">
        <f>B13</f>
        <v>111</v>
      </c>
      <c r="C84" s="468"/>
      <c r="D84" s="468"/>
      <c r="E84" s="468"/>
      <c r="F84" s="468"/>
      <c r="G84" s="468"/>
      <c r="H84" s="443"/>
      <c r="I84" s="443"/>
      <c r="J84" s="443"/>
      <c r="K84" s="443"/>
      <c r="L84" s="443"/>
      <c r="M84" s="1869"/>
      <c r="N84" s="3016"/>
      <c r="O84" s="3016"/>
      <c r="P84" s="2058"/>
      <c r="Q84" s="1875"/>
    </row>
    <row r="85" spans="1:17" s="1770" customFormat="1" ht="15.75" thickBot="1">
      <c r="A85" s="1868"/>
      <c r="B85" s="1860"/>
      <c r="C85" s="1873"/>
      <c r="D85" s="1873"/>
      <c r="E85" s="1873"/>
      <c r="F85" s="1873"/>
      <c r="G85" s="1873"/>
      <c r="H85" s="1876"/>
      <c r="I85" s="1876"/>
      <c r="J85" s="1876"/>
      <c r="K85" s="1876"/>
      <c r="L85" s="1876"/>
      <c r="M85" s="1877"/>
      <c r="N85" s="3016"/>
      <c r="O85" s="3016"/>
      <c r="P85" s="2057"/>
      <c r="Q85" s="1872"/>
    </row>
    <row r="86" spans="1:17" s="1770" customFormat="1" ht="15.75" thickTop="1">
      <c r="A86" s="1868"/>
      <c r="B86" s="1863">
        <f>B14</f>
        <v>111</v>
      </c>
      <c r="C86" s="409"/>
      <c r="D86" s="409"/>
      <c r="E86" s="409"/>
      <c r="F86" s="409"/>
      <c r="G86" s="409"/>
      <c r="H86" s="453"/>
      <c r="I86" s="453"/>
      <c r="J86" s="453"/>
      <c r="K86" s="453"/>
      <c r="L86" s="453"/>
      <c r="M86" s="1878"/>
      <c r="N86" s="3016"/>
      <c r="O86" s="3016"/>
      <c r="P86" s="2057"/>
      <c r="Q86" s="1872"/>
    </row>
    <row r="87" spans="1:17" s="1770" customFormat="1" ht="15.75" thickBot="1">
      <c r="A87" s="1879"/>
      <c r="B87" s="1880"/>
      <c r="C87" s="1881"/>
      <c r="D87" s="1881"/>
      <c r="E87" s="1881"/>
      <c r="F87" s="1881"/>
      <c r="G87" s="1881"/>
      <c r="H87" s="1882"/>
      <c r="I87" s="1882"/>
      <c r="J87" s="1882"/>
      <c r="K87" s="1882"/>
      <c r="L87" s="1882"/>
      <c r="M87" s="1883"/>
      <c r="N87" s="3016"/>
      <c r="O87" s="3016"/>
      <c r="P87" s="2057"/>
      <c r="Q87" s="1872"/>
    </row>
    <row r="88" spans="1:17">
      <c r="A88" s="1845" t="s">
        <v>2269</v>
      </c>
      <c r="B88" s="1846" t="s">
        <v>2306</v>
      </c>
      <c r="C88" s="1884" t="s">
        <v>2307</v>
      </c>
      <c r="D88" s="1884" t="s">
        <v>2308</v>
      </c>
      <c r="E88" s="1884" t="s">
        <v>2309</v>
      </c>
      <c r="F88" s="1884" t="s">
        <v>2310</v>
      </c>
      <c r="G88" s="1884" t="s">
        <v>2311</v>
      </c>
      <c r="H88" s="1847"/>
      <c r="I88" s="1847"/>
      <c r="J88" s="1847"/>
      <c r="K88" s="463"/>
      <c r="L88" s="463"/>
      <c r="M88" s="1885"/>
      <c r="N88" s="3014"/>
      <c r="O88" s="3014"/>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5"/>
      <c r="O89" s="3015"/>
      <c r="P89" s="2056"/>
      <c r="Q89" s="1820"/>
    </row>
    <row r="90" spans="1:17" ht="15.75" thickTop="1">
      <c r="A90" s="1852"/>
      <c r="B90" s="1857" t="s">
        <v>2476</v>
      </c>
      <c r="C90" s="579" t="s">
        <v>2307</v>
      </c>
      <c r="D90" s="579" t="s">
        <v>2308</v>
      </c>
      <c r="E90" s="579" t="s">
        <v>2309</v>
      </c>
      <c r="F90" s="579" t="s">
        <v>2310</v>
      </c>
      <c r="G90" s="579" t="s">
        <v>2311</v>
      </c>
      <c r="H90" s="1858"/>
      <c r="I90" s="1858"/>
      <c r="J90" s="1858"/>
      <c r="K90" s="428"/>
      <c r="L90" s="428"/>
      <c r="M90" s="1859"/>
      <c r="N90" s="3014"/>
      <c r="O90" s="3014"/>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5"/>
      <c r="O91" s="3015"/>
      <c r="P91" s="2056"/>
      <c r="Q91" s="1820"/>
    </row>
    <row r="92" spans="1:17" ht="15.75" thickTop="1">
      <c r="A92" s="1852"/>
      <c r="B92" s="1857" t="s">
        <v>2394</v>
      </c>
      <c r="C92" s="579" t="s">
        <v>2307</v>
      </c>
      <c r="D92" s="579" t="s">
        <v>2308</v>
      </c>
      <c r="E92" s="579" t="s">
        <v>2309</v>
      </c>
      <c r="F92" s="579" t="s">
        <v>2310</v>
      </c>
      <c r="G92" s="579" t="s">
        <v>2311</v>
      </c>
      <c r="H92" s="1858"/>
      <c r="I92" s="1858"/>
      <c r="J92" s="1858"/>
      <c r="K92" s="428"/>
      <c r="L92" s="428"/>
      <c r="M92" s="1859"/>
      <c r="N92" s="3014"/>
      <c r="O92" s="3014"/>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5"/>
      <c r="O93" s="3015"/>
      <c r="P93" s="2056"/>
      <c r="Q93" s="1820"/>
    </row>
    <row r="94" spans="1:17" ht="15.75" thickTop="1">
      <c r="A94" s="1852"/>
      <c r="B94" s="1857" t="s">
        <v>2312</v>
      </c>
      <c r="C94" s="579" t="s">
        <v>2307</v>
      </c>
      <c r="D94" s="579" t="s">
        <v>2308</v>
      </c>
      <c r="E94" s="579" t="s">
        <v>2309</v>
      </c>
      <c r="F94" s="579" t="s">
        <v>2310</v>
      </c>
      <c r="G94" s="579" t="s">
        <v>2311</v>
      </c>
      <c r="H94" s="1858"/>
      <c r="I94" s="1858"/>
      <c r="J94" s="1858"/>
      <c r="K94" s="428"/>
      <c r="L94" s="428"/>
      <c r="M94" s="1859"/>
      <c r="N94" s="3014"/>
      <c r="O94" s="3014"/>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5"/>
      <c r="O95" s="3015"/>
      <c r="P95" s="2056"/>
      <c r="Q95" s="1820"/>
    </row>
    <row r="96" spans="1:17" s="1685" customFormat="1" ht="15.75" thickTop="1">
      <c r="A96" s="1888"/>
      <c r="B96" s="1857" t="s">
        <v>2477</v>
      </c>
      <c r="C96" s="579" t="s">
        <v>2307</v>
      </c>
      <c r="D96" s="579" t="s">
        <v>2308</v>
      </c>
      <c r="E96" s="579" t="s">
        <v>2309</v>
      </c>
      <c r="F96" s="579" t="s">
        <v>2310</v>
      </c>
      <c r="G96" s="579" t="s">
        <v>2311</v>
      </c>
      <c r="H96" s="579"/>
      <c r="I96" s="579"/>
      <c r="J96" s="579"/>
      <c r="K96" s="579"/>
      <c r="L96" s="579"/>
      <c r="M96" s="2059"/>
      <c r="N96" s="3013"/>
      <c r="O96" s="3013"/>
      <c r="P96" s="2056"/>
      <c r="Q96" s="1820"/>
    </row>
    <row r="97" spans="1:17" s="1685"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5"/>
      <c r="O97" s="3015"/>
      <c r="P97" s="2056"/>
      <c r="Q97" s="1820"/>
    </row>
    <row r="98" spans="1:17" s="1685" customFormat="1" ht="27.75" thickTop="1">
      <c r="A98" s="1888"/>
      <c r="B98" s="1857" t="s">
        <v>2478</v>
      </c>
      <c r="C98" s="1884" t="s">
        <v>2307</v>
      </c>
      <c r="D98" s="1884" t="s">
        <v>2308</v>
      </c>
      <c r="E98" s="1884" t="s">
        <v>2309</v>
      </c>
      <c r="F98" s="1884" t="s">
        <v>2310</v>
      </c>
      <c r="G98" s="1884" t="s">
        <v>2311</v>
      </c>
      <c r="H98" s="579"/>
      <c r="I98" s="579"/>
      <c r="J98" s="579"/>
      <c r="K98" s="579"/>
      <c r="L98" s="579"/>
      <c r="M98" s="2059"/>
      <c r="N98" s="3013"/>
      <c r="O98" s="3013"/>
      <c r="P98" s="2056"/>
      <c r="Q98" s="1820"/>
    </row>
    <row r="99" spans="1:17" s="1685"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5"/>
      <c r="O99" s="3015"/>
      <c r="P99" s="2056"/>
      <c r="Q99" s="1820"/>
    </row>
    <row r="100" spans="1:17" s="1685" customFormat="1" ht="15.75" thickTop="1">
      <c r="A100" s="1888"/>
      <c r="B100" s="1863" t="s">
        <v>2355</v>
      </c>
      <c r="C100" s="1884" t="s">
        <v>2307</v>
      </c>
      <c r="D100" s="1884" t="s">
        <v>2308</v>
      </c>
      <c r="E100" s="1884" t="s">
        <v>2309</v>
      </c>
      <c r="F100" s="1884" t="s">
        <v>2310</v>
      </c>
      <c r="G100" s="1884" t="s">
        <v>2311</v>
      </c>
      <c r="H100" s="1858"/>
      <c r="I100" s="1858"/>
      <c r="J100" s="1858"/>
      <c r="K100" s="1858"/>
      <c r="L100" s="1858"/>
      <c r="M100" s="1886"/>
      <c r="N100" s="3015"/>
      <c r="O100" s="3015"/>
      <c r="P100" s="2056"/>
      <c r="Q100" s="1820"/>
    </row>
    <row r="101" spans="1:17" s="1685"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5"/>
      <c r="N101" s="3015"/>
      <c r="O101" s="3015"/>
      <c r="P101" s="2056"/>
      <c r="Q101" s="1820"/>
    </row>
    <row r="102" spans="1:17" s="1770" customFormat="1" ht="15.75" thickTop="1">
      <c r="A102" s="1868"/>
      <c r="B102" s="1857" t="s">
        <v>2356</v>
      </c>
      <c r="C102" s="1858" t="s">
        <v>2314</v>
      </c>
      <c r="D102" s="1858" t="s">
        <v>2315</v>
      </c>
      <c r="E102" s="1858" t="s">
        <v>2316</v>
      </c>
      <c r="F102" s="1858" t="s">
        <v>2317</v>
      </c>
      <c r="G102" s="1858" t="s">
        <v>2318</v>
      </c>
      <c r="H102" s="489"/>
      <c r="I102" s="489"/>
      <c r="J102" s="489"/>
      <c r="K102" s="489"/>
      <c r="L102" s="489"/>
      <c r="M102" s="1903"/>
      <c r="N102" s="3016"/>
      <c r="O102" s="3016"/>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6"/>
      <c r="O103" s="3016"/>
      <c r="P103" s="2057"/>
      <c r="Q103" s="1872"/>
    </row>
    <row r="104" spans="1:17" ht="15.75" thickTop="1">
      <c r="A104" s="1852"/>
      <c r="B104" s="1857" t="str">
        <f>B31</f>
        <v>临街状况</v>
      </c>
      <c r="C104" s="1858" t="s">
        <v>2479</v>
      </c>
      <c r="D104" s="1858" t="s">
        <v>2480</v>
      </c>
      <c r="E104" s="1858" t="s">
        <v>2481</v>
      </c>
      <c r="F104" s="1858" t="s">
        <v>2482</v>
      </c>
      <c r="G104" s="1858"/>
      <c r="H104" s="1858"/>
      <c r="I104" s="1858"/>
      <c r="J104" s="1858"/>
      <c r="K104" s="428"/>
      <c r="L104" s="428"/>
      <c r="M104" s="1859"/>
      <c r="N104" s="3014"/>
      <c r="O104" s="3014"/>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5"/>
      <c r="O105" s="3015"/>
      <c r="P105" s="2056"/>
      <c r="Q105" s="1820"/>
    </row>
    <row r="106" spans="1:17" ht="27.75" thickTop="1">
      <c r="A106" s="1852"/>
      <c r="B106" s="1857" t="s">
        <v>2387</v>
      </c>
      <c r="C106" s="468"/>
      <c r="D106" s="468"/>
      <c r="E106" s="468"/>
      <c r="F106" s="468"/>
      <c r="G106" s="468"/>
      <c r="H106" s="1578"/>
      <c r="I106" s="1578"/>
      <c r="J106" s="1578"/>
      <c r="K106" s="473"/>
      <c r="L106" s="473"/>
      <c r="M106" s="1892"/>
      <c r="N106" s="3014"/>
      <c r="O106" s="3014"/>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5"/>
      <c r="O107" s="3015"/>
      <c r="P107" s="2056"/>
      <c r="Q107" s="1820"/>
    </row>
    <row r="108" spans="1:17" ht="15.75" thickTop="1">
      <c r="A108" s="1852"/>
      <c r="B108" s="1857" t="s">
        <v>2448</v>
      </c>
      <c r="C108" s="1578"/>
      <c r="D108" s="1578"/>
      <c r="E108" s="1578"/>
      <c r="F108" s="1578"/>
      <c r="G108" s="1578"/>
      <c r="H108" s="1578"/>
      <c r="I108" s="1578"/>
      <c r="J108" s="1578"/>
      <c r="K108" s="473"/>
      <c r="L108" s="473"/>
      <c r="M108" s="1892"/>
      <c r="N108" s="3014"/>
      <c r="O108" s="3014"/>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5"/>
      <c r="O109" s="3015"/>
      <c r="P109" s="2056"/>
      <c r="Q109" s="1820"/>
    </row>
    <row r="110" spans="1:17" ht="15.75" thickTop="1">
      <c r="A110" s="1852"/>
      <c r="B110" s="1863">
        <f>B35</f>
        <v>111</v>
      </c>
      <c r="C110" s="468"/>
      <c r="D110" s="468"/>
      <c r="E110" s="468"/>
      <c r="F110" s="468"/>
      <c r="G110" s="1893"/>
      <c r="H110" s="1893"/>
      <c r="I110" s="1893"/>
      <c r="J110" s="1893"/>
      <c r="K110" s="477"/>
      <c r="L110" s="477"/>
      <c r="M110" s="1894"/>
      <c r="N110" s="3014"/>
      <c r="O110" s="3014"/>
      <c r="P110" s="2056"/>
      <c r="Q110" s="1820"/>
    </row>
    <row r="111" spans="1:17" ht="15.75" thickBot="1">
      <c r="A111" s="1852"/>
      <c r="B111" s="1880"/>
      <c r="C111" s="1873"/>
      <c r="D111" s="1873"/>
      <c r="E111" s="1873"/>
      <c r="F111" s="1873"/>
      <c r="G111" s="1896"/>
      <c r="H111" s="1896"/>
      <c r="I111" s="1896"/>
      <c r="J111" s="1896"/>
      <c r="K111" s="1896"/>
      <c r="L111" s="1896"/>
      <c r="M111" s="1897"/>
      <c r="N111" s="3015"/>
      <c r="O111" s="3015"/>
      <c r="P111" s="2056"/>
      <c r="Q111" s="1820"/>
    </row>
    <row r="112" spans="1:17" ht="15" thickTop="1">
      <c r="A112" s="1993"/>
      <c r="B112" s="1857">
        <f>B36</f>
        <v>111</v>
      </c>
      <c r="C112" s="409"/>
      <c r="D112" s="409"/>
      <c r="E112" s="409"/>
      <c r="F112" s="409"/>
      <c r="G112" s="1578"/>
      <c r="H112" s="1578"/>
      <c r="I112" s="1578"/>
      <c r="J112" s="1578"/>
      <c r="K112" s="473"/>
      <c r="L112" s="473"/>
      <c r="M112" s="1892"/>
      <c r="N112" s="3014"/>
      <c r="O112" s="3014"/>
      <c r="P112" s="2056"/>
      <c r="Q112" s="1820"/>
    </row>
    <row r="113" spans="1:17" ht="15.75" thickBot="1">
      <c r="A113" s="1852"/>
      <c r="B113" s="1860"/>
      <c r="C113" s="1881"/>
      <c r="D113" s="1881"/>
      <c r="E113" s="1881"/>
      <c r="F113" s="1881"/>
      <c r="G113" s="1854"/>
      <c r="H113" s="1854"/>
      <c r="I113" s="1854"/>
      <c r="J113" s="1854"/>
      <c r="K113" s="1854"/>
      <c r="L113" s="1854"/>
      <c r="M113" s="1855"/>
      <c r="N113" s="3015"/>
      <c r="O113" s="3015"/>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6"/>
      <c r="O114" s="3016"/>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5"/>
      <c r="O115" s="3015"/>
      <c r="P115" s="2057"/>
      <c r="Q115" s="1872"/>
    </row>
    <row r="116" spans="1:17">
      <c r="A116" s="1845" t="s">
        <v>2273</v>
      </c>
      <c r="B116" s="1846"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4"/>
      <c r="O116" s="3014"/>
      <c r="P116" s="2056"/>
      <c r="Q116" s="1820"/>
    </row>
    <row r="117" spans="1:17" ht="15">
      <c r="A117" s="1852"/>
      <c r="B117" s="1863"/>
      <c r="C117" s="1900"/>
      <c r="D117" s="1900"/>
      <c r="E117" s="1900"/>
      <c r="F117" s="1900"/>
      <c r="G117" s="1900"/>
      <c r="H117" s="1900"/>
      <c r="I117" s="1900"/>
      <c r="J117" s="485"/>
      <c r="K117" s="485"/>
      <c r="L117" s="485"/>
      <c r="M117" s="1901"/>
      <c r="N117" s="3014"/>
      <c r="O117" s="3014"/>
      <c r="P117" s="2056"/>
      <c r="Q117" s="1820"/>
    </row>
    <row r="118" spans="1:17" ht="15.75" thickBot="1">
      <c r="A118" s="1852"/>
      <c r="B118" s="1860"/>
      <c r="C118" s="1881"/>
      <c r="D118" s="1896"/>
      <c r="E118" s="1896"/>
      <c r="F118" s="1896"/>
      <c r="G118" s="1896"/>
      <c r="H118" s="1896"/>
      <c r="I118" s="1896"/>
      <c r="J118" s="1896"/>
      <c r="K118" s="1896"/>
      <c r="L118" s="1896"/>
      <c r="M118" s="1897"/>
      <c r="N118" s="3015"/>
      <c r="O118" s="3015"/>
      <c r="P118" s="2056"/>
      <c r="Q118" s="1820"/>
    </row>
    <row r="119" spans="1:17" ht="15" thickTop="1">
      <c r="A119" s="1902"/>
      <c r="B119" s="1857" t="s">
        <v>2484</v>
      </c>
      <c r="C119" s="1578"/>
      <c r="D119" s="1578"/>
      <c r="E119" s="1578"/>
      <c r="F119" s="1578"/>
      <c r="G119" s="1578"/>
      <c r="H119" s="1578"/>
      <c r="I119" s="1578"/>
      <c r="J119" s="1578"/>
      <c r="K119" s="473"/>
      <c r="L119" s="473"/>
      <c r="M119" s="1892"/>
      <c r="N119" s="3014"/>
      <c r="O119" s="3014"/>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5"/>
      <c r="O120" s="3015"/>
      <c r="P120" s="2056"/>
      <c r="Q120" s="1820"/>
    </row>
    <row r="121" spans="1:17" ht="15" thickTop="1">
      <c r="A121" s="1902"/>
      <c r="B121" s="1857" t="s">
        <v>2485</v>
      </c>
      <c r="C121" s="468"/>
      <c r="D121" s="468"/>
      <c r="E121" s="468"/>
      <c r="F121" s="1578"/>
      <c r="G121" s="1578"/>
      <c r="H121" s="1578"/>
      <c r="I121" s="1578"/>
      <c r="J121" s="1578"/>
      <c r="K121" s="473"/>
      <c r="L121" s="473"/>
      <c r="M121" s="1892"/>
      <c r="N121" s="3014"/>
      <c r="O121" s="3014"/>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5"/>
      <c r="O122" s="3015"/>
      <c r="P122" s="2056"/>
      <c r="Q122" s="1820"/>
    </row>
    <row r="123" spans="1:17" s="1770" customFormat="1" ht="15" thickTop="1">
      <c r="A123" s="1898"/>
      <c r="B123" s="1857" t="s">
        <v>2486</v>
      </c>
      <c r="C123" s="468"/>
      <c r="D123" s="468"/>
      <c r="E123" s="468"/>
      <c r="F123" s="468"/>
      <c r="G123" s="468"/>
      <c r="H123" s="1578"/>
      <c r="I123" s="1578"/>
      <c r="J123" s="1578"/>
      <c r="K123" s="473"/>
      <c r="L123" s="473"/>
      <c r="M123" s="1892"/>
      <c r="N123" s="3016"/>
      <c r="O123" s="3016"/>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6"/>
      <c r="O124" s="3016"/>
      <c r="P124" s="2057"/>
      <c r="Q124" s="1872"/>
    </row>
    <row r="125" spans="1:17" ht="15" thickTop="1">
      <c r="A125" s="1902"/>
      <c r="B125" s="1857" t="s">
        <v>2487</v>
      </c>
      <c r="C125" s="468"/>
      <c r="D125" s="468"/>
      <c r="E125" s="1578"/>
      <c r="F125" s="1578"/>
      <c r="G125" s="1578"/>
      <c r="H125" s="1578"/>
      <c r="I125" s="1578"/>
      <c r="J125" s="1578"/>
      <c r="K125" s="473"/>
      <c r="L125" s="473"/>
      <c r="M125" s="1892"/>
      <c r="N125" s="3014"/>
      <c r="O125" s="3014"/>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5"/>
      <c r="O126" s="3015"/>
      <c r="P126" s="2056"/>
      <c r="Q126" s="1820"/>
    </row>
    <row r="127" spans="1:17" ht="15" thickTop="1">
      <c r="A127" s="1902"/>
      <c r="B127" s="1857">
        <f>B43</f>
        <v>111</v>
      </c>
      <c r="C127" s="468"/>
      <c r="D127" s="468"/>
      <c r="E127" s="468"/>
      <c r="F127" s="468"/>
      <c r="G127" s="468"/>
      <c r="H127" s="1578"/>
      <c r="I127" s="1578"/>
      <c r="J127" s="1578"/>
      <c r="K127" s="473"/>
      <c r="L127" s="473"/>
      <c r="M127" s="1892"/>
      <c r="N127" s="3014"/>
      <c r="O127" s="3014"/>
      <c r="P127" s="2056"/>
      <c r="Q127" s="1820"/>
    </row>
    <row r="128" spans="1:17" ht="15.75" thickBot="1">
      <c r="A128" s="1852"/>
      <c r="B128" s="1860"/>
      <c r="C128" s="1873"/>
      <c r="D128" s="1873"/>
      <c r="E128" s="1873"/>
      <c r="F128" s="1873"/>
      <c r="G128" s="1854"/>
      <c r="H128" s="1854"/>
      <c r="I128" s="1854"/>
      <c r="J128" s="1854"/>
      <c r="K128" s="1854"/>
      <c r="L128" s="1854"/>
      <c r="M128" s="1855"/>
      <c r="N128" s="3015"/>
      <c r="O128" s="3015"/>
      <c r="P128" s="2056"/>
      <c r="Q128" s="1820"/>
    </row>
    <row r="129" spans="1:17" ht="15" thickTop="1">
      <c r="A129" s="1902"/>
      <c r="B129" s="1857">
        <f>B44</f>
        <v>111</v>
      </c>
      <c r="C129" s="409"/>
      <c r="D129" s="409"/>
      <c r="E129" s="409"/>
      <c r="F129" s="409"/>
      <c r="G129" s="1578"/>
      <c r="H129" s="1578"/>
      <c r="I129" s="1578"/>
      <c r="J129" s="1578"/>
      <c r="K129" s="473"/>
      <c r="L129" s="473"/>
      <c r="M129" s="1892"/>
      <c r="N129" s="3014"/>
      <c r="O129" s="3014"/>
      <c r="P129" s="2056"/>
      <c r="Q129" s="1820"/>
    </row>
    <row r="130" spans="1:17" ht="15.75" thickBot="1">
      <c r="A130" s="1852"/>
      <c r="B130" s="1860"/>
      <c r="C130" s="1881"/>
      <c r="D130" s="1881"/>
      <c r="E130" s="1881"/>
      <c r="F130" s="1881"/>
      <c r="G130" s="1854"/>
      <c r="H130" s="1854"/>
      <c r="I130" s="1854"/>
      <c r="J130" s="1854"/>
      <c r="K130" s="1854"/>
      <c r="L130" s="1854"/>
      <c r="M130" s="1855"/>
      <c r="N130" s="3015"/>
      <c r="O130" s="3015"/>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6"/>
      <c r="O131" s="3016"/>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6"/>
      <c r="O132" s="3016"/>
      <c r="P132" s="2057"/>
      <c r="Q132" s="187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A7" sqref="A7:XFD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767" t="s">
        <v>2246</v>
      </c>
      <c r="D4" s="3768"/>
      <c r="E4" s="3769" t="s">
        <v>2247</v>
      </c>
      <c r="F4" s="3770"/>
      <c r="G4" s="3767" t="s">
        <v>2248</v>
      </c>
      <c r="H4" s="3768"/>
      <c r="I4" s="3767" t="s">
        <v>2249</v>
      </c>
      <c r="J4" s="3768"/>
      <c r="K4" s="496" t="s">
        <v>2250</v>
      </c>
      <c r="L4" s="3023"/>
      <c r="M4" s="3024"/>
      <c r="N4" s="3024"/>
      <c r="O4" s="3024"/>
      <c r="P4" s="3771" t="s">
        <v>2251</v>
      </c>
      <c r="Q4" s="3772"/>
      <c r="R4" s="3754" t="s">
        <v>2247</v>
      </c>
      <c r="S4" s="3755"/>
      <c r="T4" s="3754" t="s">
        <v>2248</v>
      </c>
      <c r="U4" s="3755"/>
      <c r="V4" s="3777" t="s">
        <v>2249</v>
      </c>
      <c r="W4" s="3777"/>
      <c r="X4" s="1335"/>
      <c r="Y4" s="3754" t="s">
        <v>2251</v>
      </c>
      <c r="Z4" s="3755"/>
      <c r="AA4" s="3764" t="s">
        <v>2247</v>
      </c>
      <c r="AB4" s="3765" t="s">
        <v>2248</v>
      </c>
      <c r="AC4" s="3764" t="s">
        <v>2249</v>
      </c>
    </row>
    <row r="5" spans="1:29" ht="15">
      <c r="A5" s="297"/>
      <c r="B5" s="298"/>
      <c r="C5" s="3780" t="s">
        <v>2252</v>
      </c>
      <c r="D5" s="3781"/>
      <c r="E5" s="3778" t="s">
        <v>2253</v>
      </c>
      <c r="F5" s="3779"/>
      <c r="G5" s="3780" t="s">
        <v>2254</v>
      </c>
      <c r="H5" s="3781"/>
      <c r="I5" s="3780" t="s">
        <v>2255</v>
      </c>
      <c r="J5" s="3781"/>
      <c r="K5" s="496"/>
      <c r="L5" s="3023"/>
      <c r="M5" s="3024"/>
      <c r="N5" s="3024"/>
      <c r="O5" s="3024"/>
      <c r="P5" s="3773"/>
      <c r="Q5" s="3774"/>
      <c r="R5" s="3756"/>
      <c r="S5" s="3757"/>
      <c r="T5" s="3756"/>
      <c r="U5" s="3757"/>
      <c r="V5" s="3777"/>
      <c r="W5" s="3777"/>
      <c r="X5" s="1335"/>
      <c r="Y5" s="3756"/>
      <c r="Z5" s="3757"/>
      <c r="AA5" s="3765"/>
      <c r="AB5" s="3765"/>
      <c r="AC5" s="3765"/>
    </row>
    <row r="6" spans="1:29" ht="15.75" thickBot="1">
      <c r="A6" s="299"/>
      <c r="B6" s="300"/>
      <c r="C6" s="3782" t="s">
        <v>2256</v>
      </c>
      <c r="D6" s="3783"/>
      <c r="E6" s="3784" t="s">
        <v>2256</v>
      </c>
      <c r="F6" s="3785"/>
      <c r="G6" s="3782" t="s">
        <v>2256</v>
      </c>
      <c r="H6" s="3783"/>
      <c r="I6" s="3782" t="s">
        <v>2256</v>
      </c>
      <c r="J6" s="3783"/>
      <c r="K6" s="496" t="s">
        <v>2257</v>
      </c>
      <c r="L6" s="3023"/>
      <c r="M6" s="3024"/>
      <c r="N6" s="3024"/>
      <c r="O6" s="3024"/>
      <c r="P6" s="3775"/>
      <c r="Q6" s="3776"/>
      <c r="R6" s="3756"/>
      <c r="S6" s="3757"/>
      <c r="T6" s="3758"/>
      <c r="U6" s="3759"/>
      <c r="V6" s="3777"/>
      <c r="W6" s="3777"/>
      <c r="X6" s="1335"/>
      <c r="Y6" s="3758"/>
      <c r="Z6" s="3759"/>
      <c r="AA6" s="3766"/>
      <c r="AB6" s="3766"/>
      <c r="AC6" s="3766"/>
    </row>
    <row r="7" spans="1:29" s="25" customFormat="1" ht="15.75" thickBot="1">
      <c r="A7" s="301" t="s">
        <v>2258</v>
      </c>
      <c r="B7" s="302"/>
      <c r="C7" s="303">
        <f>'数据-取费表'!B2</f>
        <v>40002</v>
      </c>
      <c r="D7" s="304">
        <v>100</v>
      </c>
      <c r="E7" s="305"/>
      <c r="F7" s="306">
        <f>SUMIF(65:65,YEAR(E7)&amp;"-"&amp;INT((MONTH(E7)+2)/3),66:66)</f>
        <v>0</v>
      </c>
      <c r="G7" s="1575"/>
      <c r="H7" s="304">
        <f>SUMIF(65:65,YEAR(G7)&amp;"-"&amp;INT((MONTH(G7)+2)/3),66:66)</f>
        <v>0</v>
      </c>
      <c r="I7" s="1575"/>
      <c r="J7" s="304">
        <f>SUMIF(65:65,YEAR(I7)&amp;"-"&amp;INT((MONTH(I7)+2)/3),66:66)</f>
        <v>0</v>
      </c>
      <c r="K7" s="497"/>
      <c r="L7" s="3025"/>
      <c r="M7" s="3026"/>
      <c r="N7" s="3026"/>
      <c r="O7" s="3026"/>
      <c r="P7" s="3752" t="s">
        <v>2259</v>
      </c>
      <c r="Q7" s="3760"/>
      <c r="R7" s="627" t="s">
        <v>25</v>
      </c>
      <c r="S7" s="628">
        <f t="shared" ref="S7:S15" si="0">F7</f>
        <v>0</v>
      </c>
      <c r="T7" s="627" t="s">
        <v>25</v>
      </c>
      <c r="U7" s="628">
        <f t="shared" ref="U7:U15" si="1">H7</f>
        <v>0</v>
      </c>
      <c r="V7" s="627" t="s">
        <v>25</v>
      </c>
      <c r="W7" s="628">
        <f t="shared" ref="W7:W15" si="2">J7</f>
        <v>0</v>
      </c>
      <c r="X7" s="629"/>
      <c r="Y7" s="3752" t="s">
        <v>2259</v>
      </c>
      <c r="Z7" s="3753"/>
      <c r="AA7" s="630" t="e">
        <f>D7/F7</f>
        <v>#DIV/0!</v>
      </c>
      <c r="AB7" s="630" t="e">
        <f>D7/H7</f>
        <v>#DIV/0!</v>
      </c>
      <c r="AC7" s="630" t="e">
        <f>D7/J7</f>
        <v>#DIV/0!</v>
      </c>
    </row>
    <row r="8" spans="1:29" s="25" customFormat="1" ht="15.75" thickBot="1">
      <c r="A8" s="301" t="s">
        <v>2260</v>
      </c>
      <c r="B8" s="302"/>
      <c r="C8" s="307" t="s">
        <v>2444</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752" t="s">
        <v>2262</v>
      </c>
      <c r="Q8" s="3753"/>
      <c r="R8" s="627" t="s">
        <v>25</v>
      </c>
      <c r="S8" s="628">
        <f t="shared" si="0"/>
        <v>0</v>
      </c>
      <c r="T8" s="627" t="s">
        <v>25</v>
      </c>
      <c r="U8" s="628">
        <f t="shared" si="1"/>
        <v>0</v>
      </c>
      <c r="V8" s="627" t="s">
        <v>25</v>
      </c>
      <c r="W8" s="628">
        <f t="shared" si="2"/>
        <v>0</v>
      </c>
      <c r="X8" s="629"/>
      <c r="Y8" s="3752" t="s">
        <v>2262</v>
      </c>
      <c r="Z8" s="3753"/>
      <c r="AA8" s="630" t="e">
        <f t="shared" ref="AA8:AA40" si="3">D8/F8</f>
        <v>#DIV/0!</v>
      </c>
      <c r="AB8" s="630" t="e">
        <f t="shared" ref="AB8:AB40" si="4">D8/H8</f>
        <v>#DIV/0!</v>
      </c>
      <c r="AC8" s="630" t="e">
        <f t="shared" ref="AC8:AC40" si="5">D8/J8</f>
        <v>#DIV/0!</v>
      </c>
    </row>
    <row r="9" spans="1:29" s="25" customFormat="1">
      <c r="A9" s="308" t="s">
        <v>2263</v>
      </c>
      <c r="B9" s="24" t="s">
        <v>2264</v>
      </c>
      <c r="C9" s="1586" t="s">
        <v>2489</v>
      </c>
      <c r="D9" s="28">
        <v>100</v>
      </c>
      <c r="E9" s="1586"/>
      <c r="F9" s="28">
        <f>SUMIF(70:70,E9,71:71)-SUMIF(70:70,C9,71:71)+100</f>
        <v>100</v>
      </c>
      <c r="G9" s="1586"/>
      <c r="H9" s="28">
        <f>SUMIF(70:70,G9,71:71)-SUMIF(70:70,C9,71:71)+100</f>
        <v>100</v>
      </c>
      <c r="I9" s="1586"/>
      <c r="J9" s="28">
        <f>SUMIF(70:70,I9,71:71)-SUMIF(70:70,C9,71:71)+100</f>
        <v>100</v>
      </c>
      <c r="K9" s="497"/>
      <c r="L9" s="3025"/>
      <c r="M9" s="3026"/>
      <c r="N9" s="3026"/>
      <c r="O9" s="3027"/>
      <c r="P9" s="3744" t="s">
        <v>2265</v>
      </c>
      <c r="Q9" s="1327" t="str">
        <f t="shared" ref="Q9:Q15" si="6">B9</f>
        <v>用途</v>
      </c>
      <c r="R9" s="627" t="s">
        <v>25</v>
      </c>
      <c r="S9" s="628">
        <f t="shared" si="0"/>
        <v>100</v>
      </c>
      <c r="T9" s="627" t="s">
        <v>25</v>
      </c>
      <c r="U9" s="628">
        <f t="shared" si="1"/>
        <v>100</v>
      </c>
      <c r="V9" s="627" t="s">
        <v>25</v>
      </c>
      <c r="W9" s="628">
        <f t="shared" si="2"/>
        <v>100</v>
      </c>
      <c r="X9" s="629"/>
      <c r="Y9" s="3763"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100</v>
      </c>
      <c r="G10" s="322"/>
      <c r="H10" s="29">
        <f>ROUND(100/'数据-取费表'!B14,0)</f>
        <v>100</v>
      </c>
      <c r="I10" s="322"/>
      <c r="J10" s="29">
        <f>ROUND(100/'数据-取费表'!B14,0)</f>
        <v>100</v>
      </c>
      <c r="K10" s="553"/>
      <c r="L10" s="3028"/>
      <c r="M10" s="3029"/>
      <c r="N10" s="3029"/>
      <c r="O10" s="3030"/>
      <c r="P10" s="3744"/>
      <c r="Q10" s="1327" t="str">
        <f t="shared" si="6"/>
        <v>土地使用年限（年）</v>
      </c>
      <c r="R10" s="627" t="s">
        <v>25</v>
      </c>
      <c r="S10" s="628">
        <f t="shared" si="0"/>
        <v>100</v>
      </c>
      <c r="T10" s="627" t="s">
        <v>25</v>
      </c>
      <c r="U10" s="628">
        <f t="shared" si="1"/>
        <v>100</v>
      </c>
      <c r="V10" s="627" t="s">
        <v>25</v>
      </c>
      <c r="W10" s="628">
        <f t="shared" si="2"/>
        <v>100</v>
      </c>
      <c r="X10" s="629"/>
      <c r="Y10" s="3763"/>
      <c r="Z10" s="19" t="str">
        <f t="shared" si="7"/>
        <v>土地使用年限（年）</v>
      </c>
      <c r="AA10" s="630">
        <f t="shared" si="3"/>
        <v>1</v>
      </c>
      <c r="AB10" s="630">
        <f t="shared" si="4"/>
        <v>1</v>
      </c>
      <c r="AC10" s="630">
        <f t="shared" si="5"/>
        <v>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744"/>
      <c r="Q11" s="1327" t="str">
        <f t="shared" si="6"/>
        <v>容积率</v>
      </c>
      <c r="R11" s="627" t="s">
        <v>25</v>
      </c>
      <c r="S11" s="628" t="e">
        <f t="shared" si="0"/>
        <v>#N/A</v>
      </c>
      <c r="T11" s="627" t="s">
        <v>25</v>
      </c>
      <c r="U11" s="628" t="e">
        <f t="shared" si="1"/>
        <v>#N/A</v>
      </c>
      <c r="V11" s="627" t="s">
        <v>25</v>
      </c>
      <c r="W11" s="628" t="e">
        <f t="shared" si="2"/>
        <v>#N/A</v>
      </c>
      <c r="X11" s="629"/>
      <c r="Y11" s="376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744"/>
      <c r="Q12" s="1327">
        <f t="shared" si="6"/>
        <v>111</v>
      </c>
      <c r="R12" s="627" t="s">
        <v>25</v>
      </c>
      <c r="S12" s="628">
        <f t="shared" si="0"/>
        <v>100</v>
      </c>
      <c r="T12" s="627" t="s">
        <v>25</v>
      </c>
      <c r="U12" s="628">
        <f t="shared" si="1"/>
        <v>100</v>
      </c>
      <c r="V12" s="627" t="s">
        <v>25</v>
      </c>
      <c r="W12" s="628">
        <f t="shared" si="2"/>
        <v>100</v>
      </c>
      <c r="X12" s="629"/>
      <c r="Y12" s="376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744"/>
      <c r="Q13" s="1327">
        <f t="shared" si="6"/>
        <v>111</v>
      </c>
      <c r="R13" s="627" t="s">
        <v>25</v>
      </c>
      <c r="S13" s="628">
        <f t="shared" si="0"/>
        <v>100</v>
      </c>
      <c r="T13" s="627" t="s">
        <v>25</v>
      </c>
      <c r="U13" s="628">
        <f t="shared" si="1"/>
        <v>100</v>
      </c>
      <c r="V13" s="627" t="s">
        <v>25</v>
      </c>
      <c r="W13" s="628">
        <f t="shared" si="2"/>
        <v>100</v>
      </c>
      <c r="X13" s="629"/>
      <c r="Y13" s="376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744"/>
      <c r="Q14" s="1327">
        <f t="shared" si="6"/>
        <v>111</v>
      </c>
      <c r="R14" s="627" t="s">
        <v>25</v>
      </c>
      <c r="S14" s="628">
        <f t="shared" si="0"/>
        <v>100</v>
      </c>
      <c r="T14" s="627" t="s">
        <v>25</v>
      </c>
      <c r="U14" s="628">
        <f t="shared" si="1"/>
        <v>100</v>
      </c>
      <c r="V14" s="627" t="s">
        <v>25</v>
      </c>
      <c r="W14" s="628">
        <f t="shared" si="2"/>
        <v>100</v>
      </c>
      <c r="X14" s="629"/>
      <c r="Y14" s="3763"/>
      <c r="Z14" s="19">
        <f t="shared" si="7"/>
        <v>111</v>
      </c>
      <c r="AA14" s="630">
        <f t="shared" si="3"/>
        <v>1</v>
      </c>
      <c r="AB14" s="630">
        <f t="shared" si="4"/>
        <v>1</v>
      </c>
      <c r="AC14" s="630">
        <f t="shared" si="5"/>
        <v>1</v>
      </c>
    </row>
    <row r="15" spans="1:29" ht="57">
      <c r="A15" s="329" t="s">
        <v>2269</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761" t="s">
        <v>2270</v>
      </c>
      <c r="Q15" s="1334" t="str">
        <f t="shared" si="6"/>
        <v>产业集聚程度</v>
      </c>
      <c r="R15" s="631" t="s">
        <v>25</v>
      </c>
      <c r="S15" s="632">
        <f t="shared" si="0"/>
        <v>100</v>
      </c>
      <c r="T15" s="631" t="s">
        <v>25</v>
      </c>
      <c r="U15" s="632">
        <f t="shared" si="1"/>
        <v>100</v>
      </c>
      <c r="V15" s="631" t="s">
        <v>25</v>
      </c>
      <c r="W15" s="632">
        <f t="shared" si="2"/>
        <v>100</v>
      </c>
      <c r="X15" s="1335"/>
      <c r="Y15" s="3761"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762"/>
      <c r="Q16" s="1334"/>
      <c r="R16" s="631"/>
      <c r="S16" s="632"/>
      <c r="T16" s="631"/>
      <c r="U16" s="632"/>
      <c r="V16" s="631"/>
      <c r="W16" s="632"/>
      <c r="X16" s="1335"/>
      <c r="Y16" s="3762"/>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762"/>
      <c r="Q17" s="1334" t="str">
        <f>B17</f>
        <v>交通便捷度</v>
      </c>
      <c r="R17" s="631" t="s">
        <v>25</v>
      </c>
      <c r="S17" s="632">
        <f>F17</f>
        <v>100</v>
      </c>
      <c r="T17" s="631" t="s">
        <v>25</v>
      </c>
      <c r="U17" s="632">
        <f>H17</f>
        <v>100</v>
      </c>
      <c r="V17" s="631" t="s">
        <v>25</v>
      </c>
      <c r="W17" s="632">
        <f>J17</f>
        <v>100</v>
      </c>
      <c r="X17" s="1335"/>
      <c r="Y17" s="376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3"/>
      <c r="M18" s="3024"/>
      <c r="N18" s="3024"/>
      <c r="O18" s="3032"/>
      <c r="P18" s="3762"/>
      <c r="Q18" s="1334"/>
      <c r="R18" s="631"/>
      <c r="S18" s="632"/>
      <c r="T18" s="631"/>
      <c r="U18" s="632"/>
      <c r="V18" s="631"/>
      <c r="W18" s="632"/>
      <c r="X18" s="1335"/>
      <c r="Y18" s="3762"/>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762"/>
      <c r="Q19" s="1334" t="str">
        <f t="shared" ref="Q19:Q33" si="8">B19</f>
        <v>区域土地利用方向</v>
      </c>
      <c r="R19" s="631" t="s">
        <v>25</v>
      </c>
      <c r="S19" s="632">
        <f>F19</f>
        <v>100</v>
      </c>
      <c r="T19" s="631" t="s">
        <v>25</v>
      </c>
      <c r="U19" s="632">
        <f>H19</f>
        <v>100</v>
      </c>
      <c r="V19" s="631" t="s">
        <v>25</v>
      </c>
      <c r="W19" s="632">
        <f>J19</f>
        <v>100</v>
      </c>
      <c r="X19" s="1335"/>
      <c r="Y19" s="376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762"/>
      <c r="Q20" s="1334"/>
      <c r="R20" s="631"/>
      <c r="S20" s="632"/>
      <c r="T20" s="631"/>
      <c r="U20" s="632"/>
      <c r="V20" s="631"/>
      <c r="W20" s="632"/>
      <c r="X20" s="1335"/>
      <c r="Y20" s="3762"/>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762"/>
      <c r="Q21" s="1334" t="str">
        <f t="shared" si="8"/>
        <v>环境状况</v>
      </c>
      <c r="R21" s="631" t="s">
        <v>25</v>
      </c>
      <c r="S21" s="632">
        <f>F21</f>
        <v>100</v>
      </c>
      <c r="T21" s="631" t="s">
        <v>25</v>
      </c>
      <c r="U21" s="632">
        <f>H21</f>
        <v>100</v>
      </c>
      <c r="V21" s="631" t="s">
        <v>25</v>
      </c>
      <c r="W21" s="632">
        <f>J21</f>
        <v>100</v>
      </c>
      <c r="X21" s="1335"/>
      <c r="Y21" s="376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762"/>
      <c r="Q22" s="1334"/>
      <c r="R22" s="631"/>
      <c r="S22" s="632"/>
      <c r="T22" s="631"/>
      <c r="U22" s="632"/>
      <c r="V22" s="631"/>
      <c r="W22" s="632"/>
      <c r="X22" s="1335"/>
      <c r="Y22" s="3762"/>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762"/>
      <c r="Q23" s="1327" t="str">
        <f t="shared" si="8"/>
        <v>公共配套设施</v>
      </c>
      <c r="R23" s="627" t="s">
        <v>25</v>
      </c>
      <c r="S23" s="628">
        <f>F23</f>
        <v>100</v>
      </c>
      <c r="T23" s="627" t="s">
        <v>25</v>
      </c>
      <c r="U23" s="628">
        <f>H23</f>
        <v>100</v>
      </c>
      <c r="V23" s="627" t="s">
        <v>25</v>
      </c>
      <c r="W23" s="628">
        <f>J23</f>
        <v>100</v>
      </c>
      <c r="X23" s="629"/>
      <c r="Y23" s="376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5"/>
      <c r="M24" s="3026"/>
      <c r="N24" s="3026"/>
      <c r="O24" s="3027"/>
      <c r="P24" s="3762"/>
      <c r="Q24" s="1327"/>
      <c r="R24" s="627"/>
      <c r="S24" s="628"/>
      <c r="T24" s="627"/>
      <c r="U24" s="628"/>
      <c r="V24" s="627"/>
      <c r="W24" s="628"/>
      <c r="X24" s="629"/>
      <c r="Y24" s="3762"/>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762"/>
      <c r="Q25" s="1327" t="str">
        <f t="shared" ref="Q25" si="9">B25</f>
        <v>基础设施水平</v>
      </c>
      <c r="R25" s="627" t="s">
        <v>25</v>
      </c>
      <c r="S25" s="628">
        <f>F25</f>
        <v>100</v>
      </c>
      <c r="T25" s="627" t="s">
        <v>25</v>
      </c>
      <c r="U25" s="628">
        <f>H25</f>
        <v>100</v>
      </c>
      <c r="V25" s="627" t="s">
        <v>25</v>
      </c>
      <c r="W25" s="628">
        <f>J25</f>
        <v>100</v>
      </c>
      <c r="X25" s="629"/>
      <c r="Y25" s="376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5"/>
      <c r="M26" s="3026"/>
      <c r="N26" s="3026"/>
      <c r="O26" s="3027"/>
      <c r="P26" s="3762"/>
      <c r="Q26" s="1327"/>
      <c r="R26" s="627"/>
      <c r="S26" s="628"/>
      <c r="T26" s="627"/>
      <c r="U26" s="628"/>
      <c r="V26" s="627"/>
      <c r="W26" s="628"/>
      <c r="X26" s="629"/>
      <c r="Y26" s="3762"/>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76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762"/>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762"/>
      <c r="Q28" s="1334" t="str">
        <f t="shared" si="8"/>
        <v>毗邻道路的类型与等级</v>
      </c>
      <c r="R28" s="631" t="s">
        <v>25</v>
      </c>
      <c r="S28" s="632">
        <f t="shared" si="10"/>
        <v>100</v>
      </c>
      <c r="T28" s="631" t="s">
        <v>25</v>
      </c>
      <c r="U28" s="632">
        <f t="shared" si="11"/>
        <v>100</v>
      </c>
      <c r="V28" s="631" t="s">
        <v>25</v>
      </c>
      <c r="W28" s="632">
        <f t="shared" si="12"/>
        <v>100</v>
      </c>
      <c r="X28" s="1335"/>
      <c r="Y28" s="376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762"/>
      <c r="Q29" s="1334"/>
      <c r="R29" s="631"/>
      <c r="S29" s="632"/>
      <c r="T29" s="631"/>
      <c r="U29" s="632"/>
      <c r="V29" s="631"/>
      <c r="W29" s="632"/>
      <c r="X29" s="1335"/>
      <c r="Y29" s="3762"/>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762"/>
      <c r="Q30" s="1334" t="str">
        <f t="shared" si="8"/>
        <v>土地级别</v>
      </c>
      <c r="R30" s="631" t="s">
        <v>25</v>
      </c>
      <c r="S30" s="632">
        <f t="shared" si="10"/>
        <v>100</v>
      </c>
      <c r="T30" s="631" t="s">
        <v>25</v>
      </c>
      <c r="U30" s="632">
        <f t="shared" si="11"/>
        <v>100</v>
      </c>
      <c r="V30" s="631" t="s">
        <v>25</v>
      </c>
      <c r="W30" s="632">
        <f t="shared" si="12"/>
        <v>100</v>
      </c>
      <c r="X30" s="1335"/>
      <c r="Y30" s="376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762"/>
      <c r="Q31" s="1334">
        <f t="shared" si="8"/>
        <v>111</v>
      </c>
      <c r="R31" s="631" t="s">
        <v>25</v>
      </c>
      <c r="S31" s="632">
        <f t="shared" si="10"/>
        <v>100</v>
      </c>
      <c r="T31" s="631" t="s">
        <v>25</v>
      </c>
      <c r="U31" s="632">
        <f t="shared" si="11"/>
        <v>100</v>
      </c>
      <c r="V31" s="631" t="s">
        <v>25</v>
      </c>
      <c r="W31" s="632">
        <f t="shared" si="12"/>
        <v>100</v>
      </c>
      <c r="X31" s="1335"/>
      <c r="Y31" s="376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749" t="s">
        <v>2275</v>
      </c>
      <c r="Q32" s="1334">
        <f t="shared" si="8"/>
        <v>111</v>
      </c>
      <c r="R32" s="631" t="s">
        <v>25</v>
      </c>
      <c r="S32" s="632">
        <f t="shared" si="10"/>
        <v>100</v>
      </c>
      <c r="T32" s="631" t="s">
        <v>25</v>
      </c>
      <c r="U32" s="632">
        <f t="shared" si="11"/>
        <v>100</v>
      </c>
      <c r="V32" s="631" t="s">
        <v>25</v>
      </c>
      <c r="W32" s="632">
        <f t="shared" si="12"/>
        <v>100</v>
      </c>
      <c r="X32" s="1335"/>
      <c r="Y32" s="3750"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750"/>
      <c r="Q33" s="1334">
        <f t="shared" si="8"/>
        <v>111</v>
      </c>
      <c r="R33" s="634" t="s">
        <v>25</v>
      </c>
      <c r="S33" s="635">
        <f t="shared" si="10"/>
        <v>100</v>
      </c>
      <c r="T33" s="634" t="s">
        <v>25</v>
      </c>
      <c r="U33" s="635">
        <f t="shared" si="11"/>
        <v>100</v>
      </c>
      <c r="V33" s="634" t="s">
        <v>25</v>
      </c>
      <c r="W33" s="635">
        <f t="shared" si="12"/>
        <v>100</v>
      </c>
      <c r="X33" s="636"/>
      <c r="Y33" s="3750"/>
      <c r="Z33" s="637">
        <f t="shared" si="13"/>
        <v>111</v>
      </c>
      <c r="AA33" s="1337">
        <f t="shared" si="3"/>
        <v>1</v>
      </c>
      <c r="AB33" s="1337">
        <f t="shared" si="4"/>
        <v>1</v>
      </c>
      <c r="AC33" s="1337">
        <f t="shared" si="5"/>
        <v>1</v>
      </c>
    </row>
    <row r="34" spans="1:29" ht="28.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750"/>
      <c r="Q34" s="1334" t="str">
        <f>B34</f>
        <v>宗地面积</v>
      </c>
      <c r="R34" s="631" t="s">
        <v>25</v>
      </c>
      <c r="S34" s="632" t="e">
        <f t="shared" si="10"/>
        <v>#N/A</v>
      </c>
      <c r="T34" s="631" t="s">
        <v>25</v>
      </c>
      <c r="U34" s="632" t="e">
        <f t="shared" si="11"/>
        <v>#N/A</v>
      </c>
      <c r="V34" s="631" t="s">
        <v>25</v>
      </c>
      <c r="W34" s="632" t="e">
        <f t="shared" si="12"/>
        <v>#N/A</v>
      </c>
      <c r="X34" s="1335"/>
      <c r="Y34" s="3750"/>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3"/>
      <c r="M35" s="3024"/>
      <c r="N35" s="3024"/>
      <c r="O35" s="3032"/>
      <c r="P35" s="3750"/>
      <c r="Q35" s="1334" t="str">
        <f t="shared" ref="Q35:Q40" si="14">B35</f>
        <v>宗地形状</v>
      </c>
      <c r="R35" s="631" t="s">
        <v>25</v>
      </c>
      <c r="S35" s="632">
        <f t="shared" si="10"/>
        <v>100</v>
      </c>
      <c r="T35" s="631" t="s">
        <v>25</v>
      </c>
      <c r="U35" s="632">
        <f t="shared" si="11"/>
        <v>100</v>
      </c>
      <c r="V35" s="631" t="s">
        <v>25</v>
      </c>
      <c r="W35" s="632">
        <f t="shared" si="12"/>
        <v>100</v>
      </c>
      <c r="X35" s="1335"/>
      <c r="Y35" s="3750"/>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5"/>
      <c r="M36" s="3026"/>
      <c r="N36" s="3026"/>
      <c r="O36" s="3027"/>
      <c r="P36" s="3750"/>
      <c r="Q36" s="1334" t="str">
        <f t="shared" si="14"/>
        <v>宗地开发程度</v>
      </c>
      <c r="R36" s="627" t="s">
        <v>25</v>
      </c>
      <c r="S36" s="628">
        <f t="shared" si="10"/>
        <v>100</v>
      </c>
      <c r="T36" s="627" t="s">
        <v>25</v>
      </c>
      <c r="U36" s="628">
        <f t="shared" si="11"/>
        <v>100</v>
      </c>
      <c r="V36" s="627" t="s">
        <v>25</v>
      </c>
      <c r="W36" s="628">
        <f t="shared" si="12"/>
        <v>100</v>
      </c>
      <c r="X36" s="629"/>
      <c r="Y36" s="3750"/>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3"/>
      <c r="M37" s="3024"/>
      <c r="N37" s="3024"/>
      <c r="O37" s="3032"/>
      <c r="P37" s="3750" t="s">
        <v>2275</v>
      </c>
      <c r="Q37" s="1334" t="str">
        <f t="shared" si="14"/>
        <v>工程地质条件</v>
      </c>
      <c r="R37" s="631" t="s">
        <v>25</v>
      </c>
      <c r="S37" s="632">
        <f t="shared" si="10"/>
        <v>100</v>
      </c>
      <c r="T37" s="631" t="s">
        <v>25</v>
      </c>
      <c r="U37" s="632">
        <f t="shared" si="11"/>
        <v>100</v>
      </c>
      <c r="V37" s="631" t="s">
        <v>25</v>
      </c>
      <c r="W37" s="632">
        <f t="shared" si="12"/>
        <v>100</v>
      </c>
      <c r="X37" s="1335"/>
      <c r="Y37" s="3750"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750"/>
      <c r="Q38" s="1334">
        <f t="shared" si="14"/>
        <v>111</v>
      </c>
      <c r="R38" s="631" t="s">
        <v>25</v>
      </c>
      <c r="S38" s="632">
        <f t="shared" si="10"/>
        <v>100</v>
      </c>
      <c r="T38" s="631" t="s">
        <v>25</v>
      </c>
      <c r="U38" s="632">
        <f t="shared" si="11"/>
        <v>100</v>
      </c>
      <c r="V38" s="631" t="s">
        <v>25</v>
      </c>
      <c r="W38" s="632">
        <f t="shared" si="12"/>
        <v>100</v>
      </c>
      <c r="X38" s="1335"/>
      <c r="Y38" s="375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750"/>
      <c r="Q39" s="1334">
        <f t="shared" si="14"/>
        <v>111</v>
      </c>
      <c r="R39" s="631" t="s">
        <v>25</v>
      </c>
      <c r="S39" s="632">
        <f t="shared" si="10"/>
        <v>100</v>
      </c>
      <c r="T39" s="631" t="s">
        <v>25</v>
      </c>
      <c r="U39" s="632">
        <f t="shared" si="11"/>
        <v>100</v>
      </c>
      <c r="V39" s="631" t="s">
        <v>25</v>
      </c>
      <c r="W39" s="632">
        <f t="shared" si="12"/>
        <v>100</v>
      </c>
      <c r="X39" s="1335"/>
      <c r="Y39" s="375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750"/>
      <c r="Q40" s="1334">
        <f t="shared" si="14"/>
        <v>111</v>
      </c>
      <c r="R40" s="634" t="s">
        <v>25</v>
      </c>
      <c r="S40" s="635">
        <f t="shared" si="10"/>
        <v>100</v>
      </c>
      <c r="T40" s="634" t="s">
        <v>25</v>
      </c>
      <c r="U40" s="635">
        <f t="shared" si="11"/>
        <v>100</v>
      </c>
      <c r="V40" s="634" t="s">
        <v>25</v>
      </c>
      <c r="W40" s="635">
        <f t="shared" si="12"/>
        <v>100</v>
      </c>
      <c r="X40" s="636"/>
      <c r="Y40" s="3750"/>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5"/>
      <c r="M41" s="3024"/>
      <c r="N41" s="3024"/>
      <c r="P41" s="3744" t="str">
        <f>A41</f>
        <v>成交单价</v>
      </c>
      <c r="Q41" s="3744"/>
      <c r="R41" s="3777">
        <f>E41</f>
        <v>0</v>
      </c>
      <c r="S41" s="3777"/>
      <c r="T41" s="3777">
        <f>G41</f>
        <v>0</v>
      </c>
      <c r="U41" s="3777"/>
      <c r="V41" s="3777">
        <f>I41</f>
        <v>0</v>
      </c>
      <c r="W41" s="3777"/>
      <c r="X41" s="618"/>
      <c r="Y41" s="638"/>
      <c r="Z41" s="618"/>
      <c r="AA41" s="618"/>
      <c r="AB41" s="618"/>
      <c r="AC41" s="618"/>
    </row>
    <row r="42" spans="1:29" ht="15.75" thickBot="1">
      <c r="A42" s="374" t="s">
        <v>2370</v>
      </c>
      <c r="B42" s="563"/>
      <c r="C42" s="377" t="e">
        <f>R43</f>
        <v>#DIV/0!</v>
      </c>
      <c r="D42" s="1795" t="s">
        <v>2744</v>
      </c>
      <c r="E42" s="377" t="e">
        <f>R42</f>
        <v>#DIV/0!</v>
      </c>
      <c r="F42" s="1797"/>
      <c r="G42" s="376" t="e">
        <f>T42</f>
        <v>#DIV/0!</v>
      </c>
      <c r="H42" s="1797"/>
      <c r="I42" s="377" t="e">
        <f>V42</f>
        <v>#DIV/0!</v>
      </c>
      <c r="J42" s="1797"/>
      <c r="K42" s="2509">
        <f>F42+H42+J42</f>
        <v>0</v>
      </c>
      <c r="L42" s="3035"/>
      <c r="M42" s="3024"/>
      <c r="N42" s="3024"/>
      <c r="P42" s="3744" t="str">
        <f>A42</f>
        <v>比较价值（元/平方米）</v>
      </c>
      <c r="Q42" s="3744"/>
      <c r="R42" s="3789" t="e">
        <f>ROUND(PRODUCT(R41,AA7:AA40),0)</f>
        <v>#DIV/0!</v>
      </c>
      <c r="S42" s="3789"/>
      <c r="T42" s="3789" t="e">
        <f>ROUND(PRODUCT(T41,AB7:AB40),0)</f>
        <v>#DIV/0!</v>
      </c>
      <c r="U42" s="3789"/>
      <c r="V42" s="3789" t="e">
        <f>ROUND(PRODUCT(V41,AC7:AC40),0)</f>
        <v>#DIV/0!</v>
      </c>
      <c r="W42" s="3789"/>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5"/>
      <c r="M43" s="3024"/>
      <c r="N43" s="3024"/>
      <c r="P43" s="3746" t="str">
        <f>A43</f>
        <v>估价对象XX用房的比较价值（楼面单价，元/平方米）</v>
      </c>
      <c r="Q43" s="3747"/>
      <c r="R43" s="3788" t="e">
        <f>ROUND(IF(D42="简单平均",AVERAGE(R42:W42),R42*F42+T42*H42+V42*J42),0)</f>
        <v>#DIV/0!</v>
      </c>
      <c r="S43" s="3788"/>
      <c r="T43" s="3788"/>
      <c r="U43" s="3788"/>
      <c r="V43" s="3788"/>
      <c r="W43" s="3788"/>
      <c r="X43" s="618"/>
      <c r="Y43" s="618"/>
      <c r="Z43" s="618"/>
      <c r="AA43" s="618"/>
      <c r="AB43" s="618"/>
      <c r="AC43" s="618"/>
    </row>
    <row r="44" spans="1:29">
      <c r="G44" s="3038"/>
      <c r="M44" s="3024"/>
      <c r="N44" s="3024"/>
    </row>
    <row r="45" spans="1:29">
      <c r="M45" s="3024"/>
      <c r="N45" s="3024"/>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2466</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2467</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2468</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2469</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2470</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2471</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2472</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2009-7-1</v>
      </c>
      <c r="D63" s="1182">
        <f>EDATE(C63,-3)</f>
        <v>39904</v>
      </c>
      <c r="E63" s="1182">
        <f t="shared" ref="E63:O63" si="18">EDATE(D63,-3)</f>
        <v>39814</v>
      </c>
      <c r="F63" s="1182">
        <f t="shared" si="18"/>
        <v>39722</v>
      </c>
      <c r="G63" s="1182">
        <f t="shared" si="18"/>
        <v>39630</v>
      </c>
      <c r="H63" s="1182">
        <f t="shared" si="18"/>
        <v>39539</v>
      </c>
      <c r="I63" s="1182">
        <f t="shared" si="18"/>
        <v>39448</v>
      </c>
      <c r="J63" s="1182">
        <f t="shared" si="18"/>
        <v>39356</v>
      </c>
      <c r="K63" s="1182">
        <f t="shared" si="18"/>
        <v>39264</v>
      </c>
      <c r="L63" s="1182">
        <f t="shared" si="18"/>
        <v>39173</v>
      </c>
      <c r="M63" s="1182">
        <f t="shared" si="18"/>
        <v>39083</v>
      </c>
      <c r="N63" s="1182">
        <f t="shared" si="18"/>
        <v>38991</v>
      </c>
      <c r="O63" s="1182">
        <f t="shared" si="18"/>
        <v>38899</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2009-3</v>
      </c>
      <c r="D65" s="1183" t="str">
        <f t="shared" ref="D65:O65" si="19">YEAR(D63)&amp;"-"&amp;ROUNDUP(MONTH(D63)/3,0)</f>
        <v>2009-2</v>
      </c>
      <c r="E65" s="1183" t="str">
        <f t="shared" si="19"/>
        <v>2009-1</v>
      </c>
      <c r="F65" s="1183" t="str">
        <f t="shared" si="19"/>
        <v>2008-4</v>
      </c>
      <c r="G65" s="1183" t="str">
        <f t="shared" si="19"/>
        <v>2008-3</v>
      </c>
      <c r="H65" s="1183" t="str">
        <f t="shared" si="19"/>
        <v>2008-2</v>
      </c>
      <c r="I65" s="1183" t="str">
        <f t="shared" si="19"/>
        <v>2008-1</v>
      </c>
      <c r="J65" s="1183" t="str">
        <f t="shared" si="19"/>
        <v>2007-4</v>
      </c>
      <c r="K65" s="1183" t="str">
        <f t="shared" si="19"/>
        <v>2007-3</v>
      </c>
      <c r="L65" s="1183" t="str">
        <f t="shared" si="19"/>
        <v>2007-2</v>
      </c>
      <c r="M65" s="1183" t="str">
        <f t="shared" si="19"/>
        <v>2007-1</v>
      </c>
      <c r="N65" s="1183" t="str">
        <f t="shared" si="19"/>
        <v>2006-4</v>
      </c>
      <c r="O65" s="1183" t="str">
        <f t="shared" si="19"/>
        <v>2006-3</v>
      </c>
      <c r="P65" s="393"/>
    </row>
    <row r="66" spans="1:17" s="25" customFormat="1" ht="33.75" customHeight="1">
      <c r="A66" s="1600" t="s">
        <v>2494</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估价对象为北京市房地产，为XX所有。根据《》[]，估价对象建筑面积为64.19平方米。根据《》[]，估价对象（分摊）出让国有建设用地使用权面积为平方米。估价对象用途为。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2009年7月8日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本次估价的“房地产价值”是指在正常市场情况下，在价值时点2009年7月8日，估价对象规划用途为，假定未设立法定优先受偿款下的房地产市场价值。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J118"/>
  <sheetViews>
    <sheetView view="pageBreakPreview" zoomScale="70" zoomScaleNormal="90" zoomScaleSheetLayoutView="70" workbookViewId="0">
      <selection activeCell="A7" sqref="A7:XFD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3" customWidth="1"/>
    <col min="33" max="38" width="9.375" style="1624" customWidth="1"/>
    <col min="39" max="16384" width="9" style="1624"/>
  </cols>
  <sheetData>
    <row r="1" spans="1:36" ht="28.5">
      <c r="A1" s="2095" t="s">
        <v>2495</v>
      </c>
      <c r="B1" s="2096"/>
      <c r="C1" s="2097" t="s">
        <v>2496</v>
      </c>
      <c r="D1" s="2098">
        <f>SUM(D29:D30,D33:D39)</f>
        <v>64.19</v>
      </c>
      <c r="E1" s="2098"/>
      <c r="F1" s="2098"/>
      <c r="G1" s="2098"/>
      <c r="H1" s="2098"/>
      <c r="I1" s="2098"/>
      <c r="J1" s="2098"/>
      <c r="K1" s="3048"/>
      <c r="L1" s="2099" t="s">
        <v>2497</v>
      </c>
      <c r="M1" s="2100">
        <f>SUMPRODUCT((区片价!B5:B9=I2)*(区片价!C3:F3=E2)*(区片价!C5:F9))</f>
        <v>0</v>
      </c>
      <c r="N1" s="2101">
        <f>SUMPRODUCT((因素修正幅度!B5:B9=I2)*(因素修正幅度!C3:F3=E2)*(因素修正幅度!C5:F9))</f>
        <v>0</v>
      </c>
      <c r="O1" s="3048"/>
      <c r="P1" s="3048"/>
      <c r="Q1" s="3048"/>
      <c r="R1" s="2102" t="s">
        <v>2498</v>
      </c>
      <c r="S1" s="2102" t="s">
        <v>2499</v>
      </c>
      <c r="T1" s="2102" t="s">
        <v>2500</v>
      </c>
      <c r="U1" s="2102" t="s">
        <v>2501</v>
      </c>
      <c r="V1" s="2102" t="s">
        <v>2502</v>
      </c>
      <c r="W1" s="2103"/>
      <c r="X1" s="2103"/>
      <c r="Y1" s="2103"/>
      <c r="Z1" s="2103"/>
      <c r="AA1" s="2103"/>
      <c r="AB1" s="2103"/>
      <c r="AC1" s="2103"/>
      <c r="AD1" s="2104"/>
      <c r="AE1" s="2104"/>
      <c r="AF1" s="2104"/>
      <c r="AG1" s="2104"/>
      <c r="AH1" s="2104"/>
      <c r="AI1" s="2104"/>
      <c r="AJ1" s="2105"/>
    </row>
    <row r="2" spans="1:36" ht="24.75">
      <c r="A2" s="1959" t="s">
        <v>2503</v>
      </c>
      <c r="B2" s="1659">
        <f ca="1">C26</f>
        <v>0</v>
      </c>
      <c r="C2" s="2106" t="s">
        <v>2504</v>
      </c>
      <c r="D2" s="1602" t="s">
        <v>2505</v>
      </c>
      <c r="E2" s="2107" t="s">
        <v>2886</v>
      </c>
      <c r="F2" s="1602" t="s">
        <v>2506</v>
      </c>
      <c r="G2" s="2108">
        <f>项目基本情况!F9</f>
        <v>0</v>
      </c>
      <c r="H2" s="1603" t="s">
        <v>2507</v>
      </c>
      <c r="I2" s="2108">
        <f>项目基本情况!F10</f>
        <v>0</v>
      </c>
      <c r="J2" s="2109"/>
      <c r="K2" s="3048"/>
      <c r="L2" s="2110" t="s">
        <v>2508</v>
      </c>
      <c r="M2" s="2111">
        <f>SUMPRODUCT((区片价!B10:B28=I2)*(区片价!C3:F3=E2)*(区片价!C10:F28))</f>
        <v>0</v>
      </c>
      <c r="N2" s="2112">
        <f>SUMPRODUCT((因素修正幅度!B10:B28=I2)*(因素修正幅度!C3:F3=E2)*(因素修正幅度!C10:F28))</f>
        <v>0</v>
      </c>
      <c r="O2" s="3048"/>
      <c r="P2" s="3048"/>
      <c r="Q2" s="3048"/>
      <c r="R2" s="2102">
        <v>1</v>
      </c>
      <c r="S2" s="2102">
        <f>ROUND(IF(G3&gt;1,IF(R2&lt;7,SUMPRODUCT((B93:B98=R2)*(C92:N92=G2)*(C93:N98)),SUMIF(C92:N92,G2,C100:N100)),IF(R2&lt;7,SUMPRODUCT((B102:B107=R2)*(C92:N92=G2)*(C102:N107)),SUMIF(C92:N92,G2,C109:N109))),4)</f>
        <v>0</v>
      </c>
      <c r="T2" s="2102">
        <f ca="1">ROUND($C$5*$C$18*$C$19*$C$20*S2*$C$24,0)</f>
        <v>0</v>
      </c>
      <c r="U2" s="2113"/>
      <c r="V2" s="2102">
        <f ca="1">ROUND(T2*U2/10000,0)</f>
        <v>0</v>
      </c>
      <c r="W2" s="2103"/>
      <c r="X2" s="2103"/>
      <c r="Y2" s="2103"/>
      <c r="Z2" s="2103"/>
      <c r="AA2" s="2103"/>
      <c r="AB2" s="2103"/>
      <c r="AC2" s="2103"/>
      <c r="AD2" s="2104"/>
      <c r="AE2" s="2104"/>
      <c r="AF2" s="2104"/>
      <c r="AG2" s="2104"/>
      <c r="AH2" s="2104"/>
      <c r="AI2" s="2104"/>
      <c r="AJ2" s="2105"/>
    </row>
    <row r="3" spans="1:36" ht="25.5">
      <c r="A3" s="1659" t="s">
        <v>2509</v>
      </c>
      <c r="B3" s="1659">
        <f ca="1">ROUND(B2/D1,0)</f>
        <v>0</v>
      </c>
      <c r="C3" s="2106" t="s">
        <v>2510</v>
      </c>
      <c r="D3" s="1602" t="s">
        <v>2511</v>
      </c>
      <c r="E3" s="2107" t="s">
        <v>2888</v>
      </c>
      <c r="F3" s="1604" t="s">
        <v>2512</v>
      </c>
      <c r="G3" s="2114">
        <f>项目基本情况!C15</f>
        <v>2</v>
      </c>
      <c r="H3" s="50" t="s">
        <v>2513</v>
      </c>
      <c r="I3" s="2115"/>
      <c r="J3" s="2109" t="s">
        <v>2514</v>
      </c>
      <c r="K3" s="3048"/>
      <c r="L3" s="2110" t="s">
        <v>2515</v>
      </c>
      <c r="M3" s="2111">
        <f>SUMPRODUCT((区片价!B29:B48=I2)*(区片价!C3:F3=E2)*(区片价!C29:F48))</f>
        <v>0</v>
      </c>
      <c r="N3" s="2112">
        <f>SUMPRODUCT((因素修正幅度!B29:B48=I2)*(因素修正幅度!C3:F3=E2)*(因素修正幅度!C29:F48))</f>
        <v>0</v>
      </c>
      <c r="O3" s="3048"/>
      <c r="P3" s="3048"/>
      <c r="Q3" s="3048"/>
      <c r="R3" s="2102">
        <v>2</v>
      </c>
      <c r="S3" s="2102">
        <f>ROUND(IF(G3&gt;1,IF(R3&lt;7,SUMPRODUCT((B93:B98=R3)*(C92:N92=G2)*(C93:N98)),SUMIF(C92:N92,G2,C100:N100)),IF(R3&lt;7,SUMPRODUCT((B102:B107=R3)*(C92:N92=G2)*(C102:N107)),SUMIF(C92:N92,G2,C109:N109))),4)</f>
        <v>0</v>
      </c>
      <c r="T3" s="2102">
        <f t="shared" ref="T3:T16" ca="1" si="0">ROUND($C$5*$C$18*$C$19*$C$20*S3*$C$24,0)</f>
        <v>0</v>
      </c>
      <c r="U3" s="2113"/>
      <c r="V3" s="2102">
        <f t="shared" ref="V3:V16" ca="1" si="1">ROUND(T3*U3/10000,0)</f>
        <v>0</v>
      </c>
      <c r="W3" s="2103"/>
      <c r="X3" s="2103"/>
      <c r="Y3" s="2103"/>
      <c r="Z3" s="2103"/>
      <c r="AA3" s="2103"/>
      <c r="AB3" s="2103"/>
      <c r="AC3" s="2103"/>
      <c r="AD3" s="2104"/>
      <c r="AE3" s="2104"/>
      <c r="AF3" s="2104"/>
      <c r="AG3" s="2104"/>
      <c r="AH3" s="2104"/>
      <c r="AI3" s="2104"/>
      <c r="AJ3" s="2105"/>
    </row>
    <row r="4" spans="1:36" ht="15.75">
      <c r="A4" s="3792"/>
      <c r="B4" s="3793"/>
      <c r="C4" s="3793"/>
      <c r="D4" s="3794"/>
      <c r="E4" s="3794"/>
      <c r="F4" s="3794"/>
      <c r="G4" s="3794"/>
      <c r="H4" s="3794"/>
      <c r="I4" s="3794"/>
      <c r="J4" s="3795"/>
      <c r="K4" s="3048"/>
      <c r="L4" s="2110" t="s">
        <v>2516</v>
      </c>
      <c r="M4" s="2111">
        <f>SUMPRODUCT((区片价!B49:B75=I2)*(区片价!C3:F3=E2)*(区片价!C49:F75))</f>
        <v>0</v>
      </c>
      <c r="N4" s="2112">
        <f>SUMPRODUCT((因素修正幅度!B49:B75=I2)*(因素修正幅度!C3:F3=E2)*(因素修正幅度!C49:F75))</f>
        <v>0</v>
      </c>
      <c r="O4" s="3048"/>
      <c r="P4" s="3048"/>
      <c r="Q4" s="3048"/>
      <c r="R4" s="2102">
        <v>3</v>
      </c>
      <c r="S4" s="2102">
        <f>ROUND(IF(G3&gt;1,IF(R4&lt;7,SUMPRODUCT((B93:B98=R4)*(C92:N92=G2)*(C93:N98)),SUMIF(C92:N92,G2,C100:N100)),IF(R4&lt;7,SUMPRODUCT((B102:B107=R4)*(C92:N92=G2)*(C102:N107)),SUMIF(C92:N92,G2,C109:N109))),4)</f>
        <v>0</v>
      </c>
      <c r="T4" s="2102">
        <f t="shared" ca="1" si="0"/>
        <v>0</v>
      </c>
      <c r="U4" s="2113"/>
      <c r="V4" s="2102">
        <f t="shared" ca="1" si="1"/>
        <v>0</v>
      </c>
      <c r="W4" s="2103"/>
      <c r="X4" s="2103"/>
      <c r="Y4" s="2103"/>
      <c r="Z4" s="2103"/>
      <c r="AA4" s="2103"/>
      <c r="AB4" s="2103"/>
      <c r="AC4" s="2103"/>
      <c r="AD4" s="2104"/>
      <c r="AE4" s="2104"/>
      <c r="AF4" s="2104"/>
      <c r="AG4" s="2104"/>
      <c r="AH4" s="2104"/>
      <c r="AI4" s="2104"/>
      <c r="AJ4" s="2105"/>
    </row>
    <row r="5" spans="1:36" s="2123" customFormat="1" ht="15.75" thickBot="1">
      <c r="A5" s="1605" t="s">
        <v>2517</v>
      </c>
      <c r="B5" s="1605" t="s">
        <v>2518</v>
      </c>
      <c r="C5" s="2116">
        <f>ROUND(IF(E2="商业",C6*C7+C16,(IF(E2="住宅",C6*C12+C16,C6+C16))),0)</f>
        <v>0</v>
      </c>
      <c r="D5" s="2117">
        <f>ROUND(C6+C16,0)</f>
        <v>0</v>
      </c>
      <c r="E5" s="2117"/>
      <c r="F5" s="2118"/>
      <c r="G5" s="2119"/>
      <c r="H5" s="2119"/>
      <c r="I5" s="2119"/>
      <c r="J5" s="2076"/>
      <c r="K5" s="1667"/>
      <c r="L5" s="2110" t="s">
        <v>2519</v>
      </c>
      <c r="M5" s="2111">
        <f>SUMPRODUCT((区片价!B76:B109=I2)*(区片价!C3:F3=E2)*(区片价!C76:F109))</f>
        <v>0</v>
      </c>
      <c r="N5" s="2112">
        <f>SUMPRODUCT((因素修正幅度!B76:B109=I2)*(因素修正幅度!C3:F3=E2)*(因素修正幅度!C76:F109))</f>
        <v>0</v>
      </c>
      <c r="O5" s="3048"/>
      <c r="P5" s="3048"/>
      <c r="Q5" s="3048"/>
      <c r="R5" s="2102">
        <v>4</v>
      </c>
      <c r="S5" s="2102">
        <f>ROUND(IF(G3&gt;1,IF(R5&lt;7,SUMPRODUCT((B93:B98=R5)*(C92:N92=G2)*(C93:N98)),SUMIF(C92:N92,G2,C100:N100)),IF(R5&lt;7,SUMPRODUCT((B102:B107=R5)*(C92:N92=G2)*(C102:N107)),SUMIF(C92:N92,G2,C109:N109))),4)</f>
        <v>0</v>
      </c>
      <c r="T5" s="2102">
        <f t="shared" ca="1" si="0"/>
        <v>0</v>
      </c>
      <c r="U5" s="2113"/>
      <c r="V5" s="2102">
        <f t="shared" ca="1" si="1"/>
        <v>0</v>
      </c>
      <c r="W5" s="2103"/>
      <c r="X5" s="2103"/>
      <c r="Y5" s="2103"/>
      <c r="Z5" s="2103"/>
      <c r="AA5" s="2103"/>
      <c r="AB5" s="2103"/>
      <c r="AC5" s="2120"/>
      <c r="AD5" s="2121"/>
      <c r="AE5" s="2121"/>
      <c r="AF5" s="2121"/>
      <c r="AG5" s="2121"/>
      <c r="AH5" s="2121"/>
      <c r="AI5" s="2121"/>
      <c r="AJ5" s="2122"/>
    </row>
    <row r="6" spans="1:36" ht="15.75" thickBot="1">
      <c r="A6" s="2124">
        <v>1</v>
      </c>
      <c r="B6" s="1606" t="s">
        <v>2520</v>
      </c>
      <c r="C6" s="2125">
        <f>SUMIF(L1:L12,G2,M1:M12)</f>
        <v>0</v>
      </c>
      <c r="D6" s="2126" t="s">
        <v>2521</v>
      </c>
      <c r="E6" s="1606"/>
      <c r="F6" s="1606"/>
      <c r="G6" s="2127"/>
      <c r="H6" s="2127"/>
      <c r="I6" s="2127"/>
      <c r="J6" s="2128"/>
      <c r="K6" s="3049"/>
      <c r="L6" s="2110" t="s">
        <v>2522</v>
      </c>
      <c r="M6" s="2111">
        <f>SUMPRODUCT((区片价!B110:B157=I2)*(区片价!C3:F3=E2)*(区片价!C110:F157))</f>
        <v>0</v>
      </c>
      <c r="N6" s="2112">
        <f>SUMPRODUCT((因素修正幅度!B110:B157=I2)*(因素修正幅度!C3:F3=E2)*(因素修正幅度!C110:F157))</f>
        <v>0</v>
      </c>
      <c r="O6" s="3048"/>
      <c r="P6" s="3048"/>
      <c r="Q6" s="3048"/>
      <c r="R6" s="2102">
        <v>5</v>
      </c>
      <c r="S6" s="2102">
        <f>ROUND(IF(G3&gt;1,IF(R6&lt;7,SUMPRODUCT((B93:B98=R6)*(C92:N92=G2)*(C93:N98)),SUMIF(C92:N92,G2,C100:N100)),IF(R6&lt;7,SUMPRODUCT((B102:B107=R6)*(C92:N92=G2)*(C102:N107)),SUMIF(C92:N92,G2,C109:N109))),4)</f>
        <v>0</v>
      </c>
      <c r="T6" s="2102">
        <f t="shared" ca="1" si="0"/>
        <v>0</v>
      </c>
      <c r="U6" s="2113"/>
      <c r="V6" s="2102">
        <f t="shared" ca="1" si="1"/>
        <v>0</v>
      </c>
      <c r="W6" s="2103"/>
      <c r="X6" s="2103"/>
      <c r="Y6" s="2103"/>
      <c r="Z6" s="2103"/>
      <c r="AA6" s="2103"/>
      <c r="AB6" s="2103"/>
      <c r="AC6" s="2120"/>
      <c r="AD6" s="2121"/>
      <c r="AE6" s="2121"/>
      <c r="AF6" s="2121"/>
      <c r="AG6" s="2121"/>
      <c r="AH6" s="2121"/>
      <c r="AI6" s="2121"/>
      <c r="AJ6" s="2122"/>
    </row>
    <row r="7" spans="1:36" ht="24">
      <c r="A7" s="3796" t="str">
        <f>IF(E2="商业",IF(C8="不临58条商业街","",2),"")</f>
        <v/>
      </c>
      <c r="B7" s="1607" t="s">
        <v>2523</v>
      </c>
      <c r="C7" s="2129" t="e">
        <f>IF(C8="不临58条商业街",1,ROUND(1+(1.6*E8+1.2*E9+0.8*E10+0.4*E11)*C9,4))</f>
        <v>#DIV/0!</v>
      </c>
      <c r="D7" s="2130" t="s">
        <v>2524</v>
      </c>
      <c r="E7" s="2131"/>
      <c r="F7" s="2132"/>
      <c r="G7" s="2132"/>
      <c r="H7" s="2132"/>
      <c r="I7" s="2132"/>
      <c r="J7" s="2133"/>
      <c r="K7" s="3049"/>
      <c r="L7" s="2110" t="s">
        <v>2525</v>
      </c>
      <c r="M7" s="2111">
        <f>SUMPRODUCT((区片价!B158:B205=I2)*(区片价!C3:F3=E2)*(区片价!C158:F205))</f>
        <v>0</v>
      </c>
      <c r="N7" s="2112">
        <f>SUMPRODUCT((因素修正幅度!B158:B205=I2)*(因素修正幅度!C3:F3=E2)*(因素修正幅度!C158:F205))</f>
        <v>0</v>
      </c>
      <c r="O7" s="3048"/>
      <c r="P7" s="3048"/>
      <c r="Q7" s="3048"/>
      <c r="R7" s="2102">
        <v>6</v>
      </c>
      <c r="S7" s="2102">
        <f>ROUND(IF(G3&gt;1,IF(R7&lt;7,SUMPRODUCT((B93:B98=R7)*(C92:N92=G2)*(C93:N98)),SUMIF(C92:N92,G2,C100:N100)),IF(R7&lt;7,SUMPRODUCT((B102:B107=R7)*(C92:N92=G2)*(C102:N107)),SUMIF(C92:N92,G2,C109:N109))),4)</f>
        <v>0</v>
      </c>
      <c r="T7" s="2102">
        <f t="shared" ca="1" si="0"/>
        <v>0</v>
      </c>
      <c r="U7" s="2113"/>
      <c r="V7" s="2102">
        <f t="shared" ca="1" si="1"/>
        <v>0</v>
      </c>
      <c r="W7" s="2134" t="s">
        <v>2526</v>
      </c>
      <c r="X7" s="2135">
        <f>G2</f>
        <v>0</v>
      </c>
      <c r="Y7" s="2135" t="s">
        <v>2527</v>
      </c>
      <c r="Z7" s="2136">
        <f>G3</f>
        <v>2</v>
      </c>
      <c r="AA7" s="2103"/>
      <c r="AB7" s="2103"/>
      <c r="AC7" s="2103"/>
      <c r="AD7" s="2104"/>
      <c r="AE7" s="2104"/>
      <c r="AF7" s="2104"/>
      <c r="AG7" s="2104"/>
      <c r="AH7" s="2104"/>
      <c r="AI7" s="2104"/>
      <c r="AJ7" s="2105"/>
    </row>
    <row r="8" spans="1:36" ht="15">
      <c r="A8" s="3797"/>
      <c r="B8" s="50" t="s">
        <v>2528</v>
      </c>
      <c r="C8" s="2137"/>
      <c r="D8" s="65" t="s">
        <v>89</v>
      </c>
      <c r="E8" s="2138" t="e">
        <f>ROUND(C11/E7,4)</f>
        <v>#DIV/0!</v>
      </c>
      <c r="F8" s="2139" t="s">
        <v>2529</v>
      </c>
      <c r="G8" s="2140"/>
      <c r="H8" s="2140"/>
      <c r="I8" s="2140"/>
      <c r="J8" s="2141"/>
      <c r="K8" s="3048"/>
      <c r="L8" s="2110" t="s">
        <v>2530</v>
      </c>
      <c r="M8" s="2111">
        <f>SUMPRODUCT((区片价!B206:B244=I2)*(区片价!C3:F3=E2)*(区片价!C206:F244))</f>
        <v>0</v>
      </c>
      <c r="N8" s="2112">
        <f>SUMPRODUCT((因素修正幅度!B206:B244=I2)*(因素修正幅度!C3:F3=E2)*(因素修正幅度!C206:F244))</f>
        <v>0</v>
      </c>
      <c r="O8" s="3048"/>
      <c r="P8" s="3048"/>
      <c r="Q8" s="3048"/>
      <c r="R8" s="2102">
        <v>7</v>
      </c>
      <c r="S8" s="2113"/>
      <c r="T8" s="2102">
        <f t="shared" ca="1" si="0"/>
        <v>0</v>
      </c>
      <c r="U8" s="2113"/>
      <c r="V8" s="2102">
        <f t="shared" ca="1" si="1"/>
        <v>0</v>
      </c>
      <c r="W8" s="3790" t="s">
        <v>2531</v>
      </c>
      <c r="X8" s="3791"/>
      <c r="Y8" s="2142" t="s">
        <v>2532</v>
      </c>
      <c r="Z8" s="2142" t="s">
        <v>2533</v>
      </c>
      <c r="AA8" s="2142" t="s">
        <v>2534</v>
      </c>
      <c r="AB8" s="2142" t="s">
        <v>2535</v>
      </c>
      <c r="AC8" s="2142" t="s">
        <v>2536</v>
      </c>
      <c r="AD8" s="2142" t="s">
        <v>2537</v>
      </c>
      <c r="AE8" s="2142" t="s">
        <v>2538</v>
      </c>
      <c r="AF8" s="2142" t="s">
        <v>2539</v>
      </c>
      <c r="AG8" s="2142" t="s">
        <v>2540</v>
      </c>
      <c r="AH8" s="2142" t="s">
        <v>2541</v>
      </c>
      <c r="AI8" s="2142" t="s">
        <v>2542</v>
      </c>
      <c r="AJ8" s="2142" t="s">
        <v>2543</v>
      </c>
    </row>
    <row r="9" spans="1:36" ht="15">
      <c r="A9" s="3797"/>
      <c r="B9" s="50" t="s">
        <v>2544</v>
      </c>
      <c r="C9" s="2143">
        <f>SUMIF(修正!C59:C119,C8,修正!E59:E119)</f>
        <v>0</v>
      </c>
      <c r="D9" s="50" t="s">
        <v>90</v>
      </c>
      <c r="E9" s="50" t="e">
        <f>ROUND(C11/E7,4)</f>
        <v>#DIV/0!</v>
      </c>
      <c r="F9" s="2139" t="s">
        <v>2545</v>
      </c>
      <c r="G9" s="2140"/>
      <c r="H9" s="2140"/>
      <c r="I9" s="2140"/>
      <c r="J9" s="2141"/>
      <c r="K9" s="3048"/>
      <c r="L9" s="2110" t="s">
        <v>2546</v>
      </c>
      <c r="M9" s="2111">
        <f>SUMPRODUCT((区片价!B245:B289=I2)*(区片价!C3:F3=E2)*(区片价!C245:F289))</f>
        <v>0</v>
      </c>
      <c r="N9" s="2112">
        <f>SUMPRODUCT((因素修正幅度!B245:B289=I2)*(因素修正幅度!C3:F3=E2)*(因素修正幅度!C245:F289))</f>
        <v>0</v>
      </c>
      <c r="O9" s="3048"/>
      <c r="P9" s="3048"/>
      <c r="Q9" s="3048"/>
      <c r="R9" s="2102">
        <v>8</v>
      </c>
      <c r="S9" s="2113"/>
      <c r="T9" s="2102">
        <f t="shared" ca="1" si="0"/>
        <v>0</v>
      </c>
      <c r="U9" s="2113"/>
      <c r="V9" s="2102">
        <f t="shared" ca="1" si="1"/>
        <v>0</v>
      </c>
      <c r="W9" s="3791" t="s">
        <v>2547</v>
      </c>
      <c r="X9" s="2144" t="s">
        <v>2548</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797"/>
      <c r="B10" s="50" t="s">
        <v>2549</v>
      </c>
      <c r="C10" s="50">
        <f>SUMIF(修正!C59:C119,C8,修正!F59:F119)</f>
        <v>0</v>
      </c>
      <c r="D10" s="50" t="s">
        <v>91</v>
      </c>
      <c r="E10" s="50" t="e">
        <f>ROUND(C11/E7,4)</f>
        <v>#DIV/0!</v>
      </c>
      <c r="F10" s="2139" t="s">
        <v>2550</v>
      </c>
      <c r="G10" s="2140"/>
      <c r="H10" s="2140"/>
      <c r="I10" s="2140"/>
      <c r="J10" s="2141"/>
      <c r="K10" s="3048"/>
      <c r="L10" s="2110" t="s">
        <v>2551</v>
      </c>
      <c r="M10" s="2111">
        <f>SUMPRODUCT((区片价!B290:B316=I2)*(区片价!C3:F3=E2)*(区片价!C290:F316))</f>
        <v>0</v>
      </c>
      <c r="N10" s="2112">
        <f>SUMPRODUCT((因素修正幅度!B290:B316=I2)*(因素修正幅度!C3:F3=E2)*(因素修正幅度!C290:F316))</f>
        <v>0</v>
      </c>
      <c r="O10" s="3048"/>
      <c r="P10" s="3048"/>
      <c r="Q10" s="3048"/>
      <c r="R10" s="2102">
        <v>9</v>
      </c>
      <c r="S10" s="2113"/>
      <c r="T10" s="2102">
        <f t="shared" ca="1" si="0"/>
        <v>0</v>
      </c>
      <c r="U10" s="2113"/>
      <c r="V10" s="2102">
        <f t="shared" ca="1" si="1"/>
        <v>0</v>
      </c>
      <c r="W10" s="3791"/>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797"/>
      <c r="B11" s="1608" t="s">
        <v>2552</v>
      </c>
      <c r="C11" s="1608">
        <f>C10/4</f>
        <v>0</v>
      </c>
      <c r="D11" s="1608" t="s">
        <v>92</v>
      </c>
      <c r="E11" s="1608" t="e">
        <f>ROUND(C11/E7,4)</f>
        <v>#DIV/0!</v>
      </c>
      <c r="F11" s="2148" t="s">
        <v>2553</v>
      </c>
      <c r="G11" s="2149"/>
      <c r="H11" s="2149"/>
      <c r="I11" s="2149"/>
      <c r="J11" s="2150"/>
      <c r="K11" s="3048"/>
      <c r="L11" s="2110" t="s">
        <v>2554</v>
      </c>
      <c r="M11" s="2111">
        <f>SUMPRODUCT((区片价!B317:B337=I2)*(区片价!C3:F3=E2)*(区片价!C317:F337))</f>
        <v>0</v>
      </c>
      <c r="N11" s="2112">
        <f>SUMPRODUCT((因素修正幅度!B317:B337=I2)*(因素修正幅度!C3:F3=E2)*(因素修正幅度!C317:F337))</f>
        <v>0</v>
      </c>
      <c r="O11" s="3048"/>
      <c r="P11" s="3048"/>
      <c r="Q11" s="3048"/>
      <c r="R11" s="2102">
        <v>10</v>
      </c>
      <c r="S11" s="2113"/>
      <c r="T11" s="2102">
        <f t="shared" ca="1" si="0"/>
        <v>0</v>
      </c>
      <c r="U11" s="2113"/>
      <c r="V11" s="2102">
        <f t="shared" ca="1" si="1"/>
        <v>0</v>
      </c>
      <c r="W11" s="3791" t="s">
        <v>2555</v>
      </c>
      <c r="X11" s="2151" t="s">
        <v>2556</v>
      </c>
      <c r="Y11" s="2152">
        <f>$G$3</f>
        <v>2</v>
      </c>
      <c r="Z11" s="2152">
        <f t="shared" ref="Z11:AJ11" si="3">$G$3</f>
        <v>2</v>
      </c>
      <c r="AA11" s="2152">
        <f t="shared" si="3"/>
        <v>2</v>
      </c>
      <c r="AB11" s="2152">
        <f t="shared" si="3"/>
        <v>2</v>
      </c>
      <c r="AC11" s="2152">
        <f t="shared" si="3"/>
        <v>2</v>
      </c>
      <c r="AD11" s="2152">
        <f t="shared" si="3"/>
        <v>2</v>
      </c>
      <c r="AE11" s="2152">
        <f t="shared" si="3"/>
        <v>2</v>
      </c>
      <c r="AF11" s="2152">
        <f t="shared" si="3"/>
        <v>2</v>
      </c>
      <c r="AG11" s="2152">
        <f t="shared" si="3"/>
        <v>2</v>
      </c>
      <c r="AH11" s="2152">
        <f t="shared" si="3"/>
        <v>2</v>
      </c>
      <c r="AI11" s="2152">
        <f t="shared" si="3"/>
        <v>2</v>
      </c>
      <c r="AJ11" s="2152">
        <f t="shared" si="3"/>
        <v>2</v>
      </c>
    </row>
    <row r="12" spans="1:36" ht="25.5" thickBot="1">
      <c r="A12" s="3796">
        <f>IF(E2="住宅",2,"")</f>
        <v>2</v>
      </c>
      <c r="B12" s="1609" t="s">
        <v>2557</v>
      </c>
      <c r="C12" s="2129">
        <f>ROUND(C15*D15*E15*F15*G15*H15*I15*J15,4)</f>
        <v>1.32</v>
      </c>
      <c r="D12" s="2153" t="s">
        <v>2558</v>
      </c>
      <c r="E12" s="2154"/>
      <c r="F12" s="2154"/>
      <c r="G12" s="2154"/>
      <c r="H12" s="2154"/>
      <c r="I12" s="2154"/>
      <c r="J12" s="2155"/>
      <c r="K12" s="3048"/>
      <c r="L12" s="2156" t="s">
        <v>2559</v>
      </c>
      <c r="M12" s="2157">
        <f>SUMPRODUCT((区片价!B338:B344=I2)*(区片价!C3:F3=E2)*(区片价!C338:F344))</f>
        <v>0</v>
      </c>
      <c r="N12" s="2158">
        <f>SUMPRODUCT((因素修正幅度!B338:B344=I2)*(因素修正幅度!C3:F3=E2)*(因素修正幅度!C338:F344))</f>
        <v>0</v>
      </c>
      <c r="O12" s="3048"/>
      <c r="P12" s="3048"/>
      <c r="Q12" s="3048"/>
      <c r="R12" s="2102">
        <v>11</v>
      </c>
      <c r="S12" s="2113"/>
      <c r="T12" s="2102">
        <f t="shared" ca="1" si="0"/>
        <v>0</v>
      </c>
      <c r="U12" s="2113"/>
      <c r="V12" s="2102">
        <f t="shared" ca="1" si="1"/>
        <v>0</v>
      </c>
      <c r="W12" s="3791"/>
      <c r="X12" s="2159" t="s">
        <v>2560</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798"/>
      <c r="B13" s="1610" t="s">
        <v>2561</v>
      </c>
      <c r="C13" s="2160" t="s">
        <v>2562</v>
      </c>
      <c r="D13" s="1611" t="s">
        <v>2563</v>
      </c>
      <c r="E13" s="1611" t="s">
        <v>2564</v>
      </c>
      <c r="F13" s="264" t="s">
        <v>2565</v>
      </c>
      <c r="G13" s="2161" t="s">
        <v>2566</v>
      </c>
      <c r="H13" s="2161" t="s">
        <v>2566</v>
      </c>
      <c r="I13" s="2161" t="s">
        <v>2566</v>
      </c>
      <c r="J13" s="2162" t="s">
        <v>2566</v>
      </c>
      <c r="K13" s="3048"/>
      <c r="L13" s="3048"/>
      <c r="M13" s="3048"/>
      <c r="N13" s="3048"/>
      <c r="O13" s="3048"/>
      <c r="P13" s="3048"/>
      <c r="Q13" s="3048"/>
      <c r="R13" s="2102">
        <v>12</v>
      </c>
      <c r="S13" s="2113"/>
      <c r="T13" s="2102">
        <f t="shared" ca="1" si="0"/>
        <v>0</v>
      </c>
      <c r="U13" s="2113"/>
      <c r="V13" s="2102">
        <f t="shared" ca="1" si="1"/>
        <v>0</v>
      </c>
      <c r="W13" s="3791"/>
      <c r="X13" s="2159"/>
      <c r="Y13" s="2147">
        <f>(-0.163*(Y12^2)-0.59*Y12+7617)*(10^(-4))/Y11</f>
        <v>0.38085000000000002</v>
      </c>
      <c r="Z13" s="2147">
        <f t="shared" ref="Z13:AJ13" si="5">(-0.163*(Z12^2)-0.59*Z12+7617)*(10^(-4))/Z11</f>
        <v>0.38085000000000002</v>
      </c>
      <c r="AA13" s="2147">
        <f t="shared" si="5"/>
        <v>0.38085000000000002</v>
      </c>
      <c r="AB13" s="2147">
        <f t="shared" si="5"/>
        <v>0.38085000000000002</v>
      </c>
      <c r="AC13" s="2147">
        <f t="shared" si="5"/>
        <v>0.38085000000000002</v>
      </c>
      <c r="AD13" s="2147">
        <f t="shared" si="5"/>
        <v>0.38085000000000002</v>
      </c>
      <c r="AE13" s="2147">
        <f t="shared" si="5"/>
        <v>0.38085000000000002</v>
      </c>
      <c r="AF13" s="2147">
        <f t="shared" si="5"/>
        <v>0.38085000000000002</v>
      </c>
      <c r="AG13" s="2147">
        <f t="shared" si="5"/>
        <v>0.38085000000000002</v>
      </c>
      <c r="AH13" s="2147">
        <f t="shared" si="5"/>
        <v>0.38085000000000002</v>
      </c>
      <c r="AI13" s="2147">
        <f t="shared" si="5"/>
        <v>0.38085000000000002</v>
      </c>
      <c r="AJ13" s="2147">
        <f t="shared" si="5"/>
        <v>0.38085000000000002</v>
      </c>
    </row>
    <row r="14" spans="1:36" ht="15">
      <c r="A14" s="3798"/>
      <c r="B14" s="1611"/>
      <c r="C14" s="2163" t="s">
        <v>2567</v>
      </c>
      <c r="D14" s="2164" t="s">
        <v>2568</v>
      </c>
      <c r="E14" s="2164" t="s">
        <v>2568</v>
      </c>
      <c r="F14" s="2165" t="s">
        <v>2569</v>
      </c>
      <c r="G14" s="2166" t="s">
        <v>2570</v>
      </c>
      <c r="H14" s="2167"/>
      <c r="I14" s="2168"/>
      <c r="J14" s="2169"/>
      <c r="K14" s="3048"/>
      <c r="L14" s="3048"/>
      <c r="M14" s="3048"/>
      <c r="N14" s="3048"/>
      <c r="O14" s="3048"/>
      <c r="P14" s="3048"/>
      <c r="Q14" s="3048"/>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thickBot="1">
      <c r="A15" s="3799"/>
      <c r="B15" s="1612" t="s">
        <v>2571</v>
      </c>
      <c r="C15" s="2170">
        <f>IF(C14="有",1.1,1)</f>
        <v>1.1000000000000001</v>
      </c>
      <c r="D15" s="2170">
        <f>IF(D14="有",1.1,1)</f>
        <v>1</v>
      </c>
      <c r="E15" s="2170">
        <f>IF(E14="有",1.1,1)</f>
        <v>1</v>
      </c>
      <c r="F15" s="2170">
        <f>IF(F14="500米范围内",1.2,IF(F14="500-1000米",1.1,1))</f>
        <v>1.2</v>
      </c>
      <c r="G15" s="2171">
        <v>1</v>
      </c>
      <c r="H15" s="2171">
        <v>1</v>
      </c>
      <c r="I15" s="2171">
        <v>1</v>
      </c>
      <c r="J15" s="2172">
        <v>1</v>
      </c>
      <c r="K15" s="3048"/>
      <c r="L15" s="3048"/>
      <c r="M15" s="3048"/>
      <c r="N15" s="3048"/>
      <c r="O15" s="3048"/>
      <c r="P15" s="3048"/>
      <c r="Q15" s="3048"/>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800">
        <f>IF(E2="办公",2,IF(E2="工业",2,IF(E2="住宅",3,IF(E2="商业",IF(C8="不临58条商业街",2,3)))))</f>
        <v>3</v>
      </c>
      <c r="B16" s="1631" t="s">
        <v>2577</v>
      </c>
      <c r="C16" s="1607">
        <f>ROUND(IF(F17="与级别开发程度一致",0,(G17-E17)/C17),0)</f>
        <v>0</v>
      </c>
      <c r="D16" s="3813" t="s">
        <v>2581</v>
      </c>
      <c r="E16" s="3814"/>
      <c r="F16" s="3813" t="s">
        <v>2578</v>
      </c>
      <c r="G16" s="3814"/>
      <c r="H16" s="2173"/>
      <c r="I16" s="2173"/>
      <c r="J16" s="2174"/>
      <c r="K16" s="2173"/>
      <c r="L16" s="2173"/>
      <c r="M16" s="2173"/>
      <c r="N16" s="2173"/>
      <c r="O16" s="2175"/>
      <c r="P16" s="3048"/>
      <c r="Q16" s="3048"/>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801"/>
      <c r="B17" s="1632" t="s">
        <v>2580</v>
      </c>
      <c r="C17" s="2176">
        <f>SUMPRODUCT((修正!A2:A5=E2)*(修正!B1:M1=G2)*(修正!B2:M5))</f>
        <v>0</v>
      </c>
      <c r="D17" s="2170" t="str">
        <f>IF(OR(G2="八级",G2="九级",G2="十级",G2="十一级",G2="十二级"),"五通一平","七通一平")</f>
        <v>七通一平</v>
      </c>
      <c r="E17" s="2177">
        <f>SUMPRODUCT((修正!B1:M1=G2)*(修正!B15:M15))</f>
        <v>0</v>
      </c>
      <c r="F17" s="2178" t="s">
        <v>2889</v>
      </c>
      <c r="G17" s="1621">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8"/>
      <c r="Q17" s="3048"/>
      <c r="R17" s="1623"/>
      <c r="S17" s="1623"/>
      <c r="T17" s="1623"/>
      <c r="U17" s="1623"/>
      <c r="V17" s="1623"/>
      <c r="W17" s="1623"/>
      <c r="X17" s="1623"/>
      <c r="Y17" s="1623"/>
      <c r="Z17" s="1623"/>
      <c r="AA17" s="1623"/>
      <c r="AB17" s="1623"/>
      <c r="AC17" s="1623"/>
      <c r="AD17" s="1623"/>
      <c r="AE17" s="1623"/>
      <c r="AF17" s="1623"/>
    </row>
    <row r="18" spans="1:35" s="2123" customFormat="1" ht="15.75" thickBot="1">
      <c r="A18" s="2181" t="s">
        <v>2583</v>
      </c>
      <c r="B18" s="1630" t="s">
        <v>2584</v>
      </c>
      <c r="C18" s="2182">
        <f>SUMIF(修正!C18:C39,E3,修正!E18:E39)</f>
        <v>1</v>
      </c>
      <c r="D18" s="2183"/>
      <c r="E18" s="2184"/>
      <c r="F18" s="2184"/>
      <c r="G18" s="2184"/>
      <c r="H18" s="2184"/>
      <c r="I18" s="2184"/>
      <c r="J18" s="2185"/>
      <c r="K18" s="3050"/>
      <c r="L18" s="3050"/>
      <c r="M18" s="3050"/>
      <c r="N18" s="3050"/>
      <c r="O18" s="3048"/>
      <c r="P18" s="3048"/>
      <c r="Q18" s="3048"/>
      <c r="R18" s="3048"/>
      <c r="S18" s="3048"/>
      <c r="T18" s="3048"/>
      <c r="U18" s="3048"/>
      <c r="V18" s="3048"/>
      <c r="W18" s="3048"/>
      <c r="X18" s="1623"/>
      <c r="Y18" s="1623"/>
      <c r="Z18" s="1623"/>
      <c r="AA18" s="1623"/>
      <c r="AB18" s="1623"/>
      <c r="AC18" s="1623"/>
      <c r="AD18" s="1623"/>
      <c r="AE18" s="1623"/>
      <c r="AF18" s="1623"/>
      <c r="AG18" s="1624"/>
      <c r="AH18" s="1624"/>
      <c r="AI18" s="1624"/>
    </row>
    <row r="19" spans="1:35" s="2123" customFormat="1" ht="29.25" thickBot="1">
      <c r="A19" s="2181" t="s">
        <v>2585</v>
      </c>
      <c r="B19" s="1613" t="s">
        <v>2586</v>
      </c>
      <c r="C19" s="2187">
        <f>ROUND(IF(H19="按公示增长率计算",SUMPRODUCT((地价!A3:A33=YEAR(G19)&amp;"-"&amp;ROUNDUP(MONTH(G19)/3,0))*(地价!X2:AB2=E2)*(地价!X3:AB33)),IF(H19="地价指数",M20/M19,(1+I19)^O19)),4)</f>
        <v>0</v>
      </c>
      <c r="D19" s="2188" t="s">
        <v>2587</v>
      </c>
      <c r="E19" s="2189">
        <v>41640</v>
      </c>
      <c r="F19" s="2188" t="s">
        <v>2588</v>
      </c>
      <c r="G19" s="2190">
        <f>'数据-取费表'!B2</f>
        <v>40002</v>
      </c>
      <c r="H19" s="2191" t="s">
        <v>2724</v>
      </c>
      <c r="I19" s="2192" t="str">
        <f>IF(H19="季度增幅（自定义）",SUMIF(N21:N24,E2,O21:O24),"")</f>
        <v/>
      </c>
      <c r="J19" s="2193"/>
      <c r="K19" s="3050"/>
      <c r="L19" s="2074" t="s">
        <v>2589</v>
      </c>
      <c r="M19" s="2194">
        <f>ROUND(SUMIF(地价!B2:F2,E2,地价!B33:F33),0)</f>
        <v>423</v>
      </c>
      <c r="N19" s="2195" t="s">
        <v>2590</v>
      </c>
      <c r="O19" s="2196" t="e">
        <f>ROUNDDOWN(DATEDIF(E19,G19,"M")/3,0)</f>
        <v>#NUM!</v>
      </c>
      <c r="P19" s="3048"/>
      <c r="Q19" s="3050"/>
      <c r="R19" s="3048"/>
      <c r="S19" s="3048"/>
      <c r="T19" s="3048"/>
      <c r="U19" s="3048"/>
      <c r="V19" s="3048"/>
      <c r="W19" s="3048"/>
      <c r="X19" s="1623"/>
      <c r="Y19" s="1623"/>
      <c r="Z19" s="1623"/>
      <c r="AA19" s="1623"/>
      <c r="AB19" s="1623"/>
      <c r="AC19" s="1623"/>
      <c r="AD19" s="1623"/>
      <c r="AE19" s="2186"/>
      <c r="AF19" s="2197"/>
      <c r="AG19" s="2198"/>
      <c r="AH19" s="1624"/>
    </row>
    <row r="20" spans="1:35" s="2123" customFormat="1" ht="27.75" thickBot="1">
      <c r="A20" s="1717" t="s">
        <v>2591</v>
      </c>
      <c r="B20" s="1614" t="s">
        <v>2592</v>
      </c>
      <c r="C20" s="2199">
        <f ca="1">ROUND(POWER(1+G20,J20-I20)*(POWER(1+G20,I20)-1)/(POWER(1+G20,J20)-1),4)</f>
        <v>1</v>
      </c>
      <c r="D20" s="2200" t="s">
        <v>2593</v>
      </c>
      <c r="E20" s="3151">
        <f ca="1">存贷款利率!D4/100</f>
        <v>5.3099999999999994E-2</v>
      </c>
      <c r="F20" s="2200" t="s">
        <v>2582</v>
      </c>
      <c r="G20" s="3152">
        <f ca="1">SUMIF(M26:P26,E2,M28:P28)</f>
        <v>6.0999999999999999E-2</v>
      </c>
      <c r="H20" s="2200" t="s">
        <v>2594</v>
      </c>
      <c r="I20" s="2201">
        <f>'数据-取费表'!B13</f>
        <v>70</v>
      </c>
      <c r="J20" s="2202">
        <f>IF(E2="住宅",70,IF(E2="商业",40,50))</f>
        <v>70</v>
      </c>
      <c r="K20" s="3050"/>
      <c r="L20" s="2203" t="s">
        <v>2595</v>
      </c>
      <c r="M20" s="2204">
        <f>ROUND(SUMPRODUCT((地价!A4:A33=YEAR(G19)&amp;"-"&amp;ROUNDUP(MONTH(G19)/3,0))*(地价!B2:F2=E2)*(地价!B4:F33)),0)</f>
        <v>0</v>
      </c>
      <c r="N20" s="2205" t="s">
        <v>2596</v>
      </c>
      <c r="O20" s="2206" t="s">
        <v>2597</v>
      </c>
      <c r="P20" s="2207" t="s">
        <v>2598</v>
      </c>
      <c r="Q20" s="3050"/>
      <c r="R20" s="3048"/>
      <c r="S20" s="3048"/>
      <c r="T20" s="3048"/>
      <c r="U20" s="3048"/>
      <c r="V20" s="3048"/>
      <c r="W20" s="3048"/>
      <c r="X20" s="1623"/>
      <c r="Y20" s="1623"/>
      <c r="Z20" s="1623"/>
      <c r="AA20" s="1623"/>
      <c r="AB20" s="1623"/>
      <c r="AC20" s="1623"/>
      <c r="AD20" s="1623"/>
      <c r="AE20" s="2186"/>
      <c r="AF20" s="2186"/>
    </row>
    <row r="21" spans="1:35" s="2123" customFormat="1" ht="14.25">
      <c r="A21" s="2208" t="s">
        <v>2599</v>
      </c>
      <c r="B21" s="1615" t="s">
        <v>2600</v>
      </c>
      <c r="C21" s="2209">
        <f>IF(B21="容积率修正",IF(G3&lt;=10,D22,J22),C23)</f>
        <v>0</v>
      </c>
      <c r="D21" s="2210"/>
      <c r="E21" s="2210"/>
      <c r="F21" s="2210"/>
      <c r="G21" s="2210"/>
      <c r="H21" s="2210"/>
      <c r="I21" s="2210"/>
      <c r="J21" s="2075"/>
      <c r="K21" s="3050"/>
      <c r="L21" s="3050"/>
      <c r="M21" s="3050"/>
      <c r="N21" s="2211" t="s">
        <v>2601</v>
      </c>
      <c r="O21" s="2212"/>
      <c r="P21" s="2213">
        <f>SUMPRODUCT((地价!A3:A33=YEAR(G19)&amp;"-"&amp;ROUNDUP(MONTH(G19)/3,0))*(地价!AD2:AH2=N21)*(地价!AD3:AH33))</f>
        <v>0</v>
      </c>
      <c r="Q21" s="3050"/>
      <c r="R21" s="3048"/>
      <c r="S21" s="3048"/>
      <c r="T21" s="3048"/>
      <c r="U21" s="3048"/>
      <c r="V21" s="3048"/>
      <c r="W21" s="3048"/>
      <c r="X21" s="1623"/>
      <c r="Y21" s="1623"/>
      <c r="Z21" s="1623"/>
      <c r="AA21" s="1623"/>
      <c r="AB21" s="1623"/>
      <c r="AC21" s="1623"/>
      <c r="AD21" s="1623"/>
      <c r="AE21" s="2186"/>
      <c r="AF21" s="2186"/>
    </row>
    <row r="22" spans="1:35" s="2123" customFormat="1" ht="14.25">
      <c r="A22" s="2071">
        <v>1</v>
      </c>
      <c r="B22" s="2070" t="s">
        <v>2602</v>
      </c>
      <c r="C22" s="2070" t="s">
        <v>2603</v>
      </c>
      <c r="D22" s="2070">
        <f>IF(E22=G22,F22,IF(G3&lt;=10,ROUND(F22+(H22-F22)*(G3-E22)/(G22-E22),4),"——"))</f>
        <v>0</v>
      </c>
      <c r="E22" s="2114">
        <f>ROUNDDOWN(G3,1)</f>
        <v>2</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4">
        <f>ROUNDUP(G3,1)</f>
        <v>2</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0" t="s">
        <v>104</v>
      </c>
      <c r="J22" s="2214" t="str">
        <f>IF(G3&gt;10,D113,"——")</f>
        <v>——</v>
      </c>
      <c r="K22" s="3050"/>
      <c r="L22" s="3050"/>
      <c r="M22" s="3050"/>
      <c r="N22" s="2211" t="s">
        <v>2604</v>
      </c>
      <c r="O22" s="2212"/>
      <c r="P22" s="2213">
        <f>SUMPRODUCT((地价!A3:A33=YEAR(G19)&amp;"-"&amp;ROUNDUP(MONTH(G19)/3,0))*(地价!AD2:AH2=N22)*(地价!AD3:AH33))</f>
        <v>0</v>
      </c>
      <c r="Q22" s="3050"/>
      <c r="R22" s="3048"/>
      <c r="S22" s="3048"/>
      <c r="T22" s="3048"/>
      <c r="U22" s="3048"/>
      <c r="V22" s="3048"/>
      <c r="W22" s="3048"/>
      <c r="X22" s="1623"/>
      <c r="Y22" s="1623"/>
      <c r="Z22" s="1623"/>
      <c r="AA22" s="1623"/>
      <c r="AB22" s="1623"/>
      <c r="AC22" s="1623"/>
      <c r="AD22" s="1623"/>
      <c r="AE22" s="2186"/>
      <c r="AF22" s="2186"/>
    </row>
    <row r="23" spans="1:35" ht="27">
      <c r="A23" s="2071">
        <v>2</v>
      </c>
      <c r="B23" s="2070" t="s">
        <v>2605</v>
      </c>
      <c r="C23" s="2215">
        <f>ROUND(IF(G3&gt;1,IF(I3&lt;7,SUMPRODUCT((B93:B98=I3)*(C92:N92=G2)*(C93:N98)),SUMIF(C92:N92,G2,C100:N100)),IF(I3&lt;7,SUMPRODUCT((B102:B107=I3)*(C92:N92=G2)*(C102:N107)),SUMIF(C92:N92,G2,C109:N109))),4)</f>
        <v>0</v>
      </c>
      <c r="D23" s="2167"/>
      <c r="E23" s="2167"/>
      <c r="F23" s="2216"/>
      <c r="G23" s="2217"/>
      <c r="H23" s="1620"/>
      <c r="I23" s="2070"/>
      <c r="J23" s="2214"/>
      <c r="K23" s="3048"/>
      <c r="L23" s="3048"/>
      <c r="M23" s="3048"/>
      <c r="N23" s="2211" t="s">
        <v>2606</v>
      </c>
      <c r="O23" s="2212"/>
      <c r="P23" s="2213">
        <f>SUMPRODUCT((地价!A3:A33=YEAR(G19)&amp;"-"&amp;ROUNDUP(MONTH(G19)/3,0))*(地价!AD2:AH2=N23)*(地价!AD3:AH33))</f>
        <v>0</v>
      </c>
      <c r="Q23" s="3048"/>
      <c r="R23" s="3048"/>
      <c r="S23" s="3048"/>
      <c r="T23" s="3048"/>
      <c r="U23" s="3048"/>
      <c r="V23" s="3048"/>
      <c r="W23" s="3048"/>
      <c r="X23" s="1623"/>
      <c r="Y23" s="1623"/>
      <c r="Z23" s="1623"/>
      <c r="AA23" s="1623"/>
      <c r="AB23" s="1623"/>
      <c r="AC23" s="1623"/>
      <c r="AD23" s="1623"/>
      <c r="AE23" s="1623"/>
      <c r="AF23" s="1623"/>
    </row>
    <row r="24" spans="1:35" s="2123" customFormat="1" ht="15.75" thickBot="1">
      <c r="A24" s="2218" t="s">
        <v>2607</v>
      </c>
      <c r="B24" s="1617" t="s">
        <v>2608</v>
      </c>
      <c r="C24" s="2219">
        <f>SUMIF(A46:A88,E2,B46:B88)</f>
        <v>1</v>
      </c>
      <c r="D24" s="2220"/>
      <c r="E24" s="2221"/>
      <c r="F24" s="2221"/>
      <c r="G24" s="2221"/>
      <c r="H24" s="2221"/>
      <c r="I24" s="2221"/>
      <c r="J24" s="2222"/>
      <c r="K24" s="3050"/>
      <c r="L24" s="3050"/>
      <c r="M24" s="3050"/>
      <c r="N24" s="2223" t="s">
        <v>2609</v>
      </c>
      <c r="O24" s="2224"/>
      <c r="P24" s="2225">
        <f>SUMPRODUCT((地价!A3:A33=YEAR(G19)&amp;"-"&amp;ROUNDUP(MONTH(G19)/3,0))*(地价!AD2:AH2=N24)*(地价!AD3:AH33))</f>
        <v>0</v>
      </c>
      <c r="Q24" s="3050"/>
      <c r="R24" s="3048"/>
      <c r="S24" s="3048"/>
      <c r="T24" s="3048"/>
      <c r="U24" s="3048"/>
      <c r="V24" s="3048"/>
      <c r="W24" s="3048"/>
      <c r="X24" s="1623"/>
      <c r="Y24" s="1623"/>
      <c r="Z24" s="1623"/>
      <c r="AA24" s="1623"/>
      <c r="AB24" s="1623"/>
      <c r="AC24" s="1623"/>
      <c r="AD24" s="1623"/>
      <c r="AE24" s="2186"/>
      <c r="AF24" s="2186"/>
    </row>
    <row r="25" spans="1:35" ht="15" thickBot="1">
      <c r="A25" s="1717" t="s">
        <v>2610</v>
      </c>
      <c r="B25" s="1618" t="s">
        <v>2611</v>
      </c>
      <c r="C25" s="2226"/>
      <c r="D25" s="2132"/>
      <c r="E25" s="2132"/>
      <c r="F25" s="2227"/>
      <c r="G25" s="2132"/>
      <c r="H25" s="2132"/>
      <c r="I25" s="2132"/>
      <c r="J25" s="2133"/>
      <c r="K25" s="3048"/>
      <c r="L25" s="3048"/>
      <c r="M25" s="3048"/>
      <c r="N25" s="3051" t="s">
        <v>2612</v>
      </c>
      <c r="O25" s="3052"/>
      <c r="P25" s="3053">
        <f>SUMPRODUCT((地价!A3:A33=YEAR(G19)&amp;"-"&amp;ROUNDUP(MONTH(G19)/3,0))*(地价!AD2:AH2=N25)*(地价!AD3:AH33))</f>
        <v>0</v>
      </c>
      <c r="Q25" s="3048"/>
      <c r="R25" s="3048"/>
      <c r="S25" s="3048"/>
      <c r="T25" s="3048"/>
      <c r="U25" s="3048"/>
      <c r="V25" s="3048"/>
      <c r="W25" s="3048"/>
      <c r="X25" s="1623"/>
      <c r="Y25" s="1623"/>
      <c r="Z25" s="1623"/>
      <c r="AA25" s="1623"/>
      <c r="AB25" s="1623"/>
      <c r="AC25" s="1623"/>
      <c r="AD25" s="1623"/>
      <c r="AE25" s="1623"/>
      <c r="AF25" s="1623"/>
    </row>
    <row r="26" spans="1:35" ht="15">
      <c r="A26" s="1702"/>
      <c r="B26" s="2070" t="s">
        <v>2613</v>
      </c>
      <c r="C26" s="2888">
        <f ca="1">IF(B21="容积率修正",E29+SUM(E33:E39),SUM(V2:V16)+SUM(E33:E39))</f>
        <v>0</v>
      </c>
      <c r="D26" s="2228"/>
      <c r="E26" s="2167"/>
      <c r="F26" s="1478"/>
      <c r="G26" s="2167"/>
      <c r="H26" s="2167"/>
      <c r="I26" s="2167"/>
      <c r="J26" s="2229"/>
      <c r="K26" s="3048"/>
      <c r="L26" s="3054" t="s">
        <v>2572</v>
      </c>
      <c r="M26" s="2130" t="s">
        <v>2573</v>
      </c>
      <c r="N26" s="2130" t="s">
        <v>2574</v>
      </c>
      <c r="O26" s="2130" t="s">
        <v>2575</v>
      </c>
      <c r="P26" s="3055" t="s">
        <v>2576</v>
      </c>
      <c r="Q26" s="3048"/>
      <c r="R26" s="3048"/>
      <c r="S26" s="3048"/>
      <c r="T26" s="3048"/>
      <c r="U26" s="3048"/>
      <c r="V26" s="3048"/>
      <c r="W26" s="3048"/>
      <c r="X26" s="1623"/>
      <c r="Y26" s="1623"/>
      <c r="Z26" s="1623"/>
      <c r="AA26" s="1623"/>
      <c r="AB26" s="1623"/>
      <c r="AC26" s="1623"/>
      <c r="AD26" s="1623"/>
      <c r="AE26" s="1623"/>
      <c r="AF26" s="1623"/>
    </row>
    <row r="27" spans="1:35" ht="15.75" thickBot="1">
      <c r="A27" s="1702"/>
      <c r="B27" s="1619" t="s">
        <v>2614</v>
      </c>
      <c r="C27" s="2230">
        <f ca="1">E30+SUM(I33:I39)</f>
        <v>0</v>
      </c>
      <c r="D27" s="2179"/>
      <c r="E27" s="2231"/>
      <c r="F27" s="2232"/>
      <c r="G27" s="2231"/>
      <c r="H27" s="2231"/>
      <c r="I27" s="2231"/>
      <c r="J27" s="2233"/>
      <c r="K27" s="3048"/>
      <c r="L27" s="2234" t="s">
        <v>2579</v>
      </c>
      <c r="M27" s="2143">
        <v>0.25</v>
      </c>
      <c r="N27" s="2143">
        <v>0.2</v>
      </c>
      <c r="O27" s="2143">
        <v>0.15</v>
      </c>
      <c r="P27" s="2235">
        <v>0.1</v>
      </c>
      <c r="Q27" s="3048"/>
      <c r="R27" s="3048"/>
      <c r="S27" s="3048"/>
      <c r="T27" s="3048"/>
      <c r="U27" s="3048"/>
      <c r="V27" s="3048"/>
      <c r="W27" s="3048"/>
      <c r="X27" s="1623"/>
      <c r="Y27" s="1623"/>
      <c r="Z27" s="1623"/>
      <c r="AA27" s="1623"/>
      <c r="AB27" s="1623"/>
      <c r="AC27" s="1623"/>
      <c r="AD27" s="1623"/>
      <c r="AE27" s="1623"/>
      <c r="AF27" s="1623"/>
    </row>
    <row r="28" spans="1:35" ht="15.75" thickBot="1">
      <c r="A28" s="1717"/>
      <c r="B28" s="2236" t="s">
        <v>2615</v>
      </c>
      <c r="C28" s="2237" t="s">
        <v>2616</v>
      </c>
      <c r="D28" s="2237" t="s">
        <v>2617</v>
      </c>
      <c r="E28" s="1618" t="s">
        <v>2618</v>
      </c>
      <c r="F28" s="2238"/>
      <c r="G28" s="2154"/>
      <c r="H28" s="2154"/>
      <c r="I28" s="2154"/>
      <c r="J28" s="2155"/>
      <c r="K28" s="3048"/>
      <c r="L28" s="2239" t="s">
        <v>2582</v>
      </c>
      <c r="M28" s="2240">
        <f ca="1">ROUND($E$20*(1+M27),3)</f>
        <v>6.6000000000000003E-2</v>
      </c>
      <c r="N28" s="2240">
        <f ca="1">ROUND($E$20*(1+N27),3)</f>
        <v>6.4000000000000001E-2</v>
      </c>
      <c r="O28" s="2240">
        <f ca="1">ROUND($E$20*(1+O27),3)</f>
        <v>6.0999999999999999E-2</v>
      </c>
      <c r="P28" s="2158">
        <f ca="1">ROUND($E$20*(1+P27),3)</f>
        <v>5.8000000000000003E-2</v>
      </c>
      <c r="Q28" s="3048"/>
      <c r="R28" s="3048"/>
      <c r="S28" s="3048"/>
      <c r="T28" s="3048"/>
      <c r="U28" s="3048"/>
      <c r="V28" s="3048"/>
      <c r="W28" s="3048"/>
      <c r="X28" s="1623"/>
      <c r="Y28" s="1623"/>
      <c r="Z28" s="1623"/>
      <c r="AA28" s="1623"/>
      <c r="AB28" s="1623"/>
      <c r="AC28" s="1623"/>
      <c r="AD28" s="1623"/>
      <c r="AE28" s="1623"/>
      <c r="AF28" s="1623"/>
    </row>
    <row r="29" spans="1:35">
      <c r="A29" s="2241"/>
      <c r="B29" s="1620" t="s">
        <v>2619</v>
      </c>
      <c r="C29" s="54">
        <f ca="1">ROUND(C5*C18*C19*C20*C21*C24,0)</f>
        <v>0</v>
      </c>
      <c r="D29" s="2242">
        <f>项目基本情况!C12</f>
        <v>64.19</v>
      </c>
      <c r="E29" s="2029">
        <f ca="1">ROUND(C29*D29,0)</f>
        <v>0</v>
      </c>
      <c r="F29" s="2243" t="s">
        <v>2620</v>
      </c>
      <c r="G29" s="2244"/>
      <c r="H29" s="2244"/>
      <c r="I29" s="2244"/>
      <c r="J29" s="2245"/>
      <c r="K29" s="3048"/>
      <c r="L29" s="3048"/>
      <c r="M29" s="3048"/>
      <c r="N29" s="3048"/>
      <c r="O29" s="3048"/>
      <c r="P29" s="3048"/>
      <c r="Q29" s="3048"/>
      <c r="R29" s="3048"/>
      <c r="S29" s="3048"/>
      <c r="T29" s="3048"/>
      <c r="U29" s="3048"/>
      <c r="V29" s="3048"/>
      <c r="W29" s="3048"/>
      <c r="X29" s="1623"/>
      <c r="Y29" s="1623"/>
      <c r="Z29" s="1623"/>
      <c r="AA29" s="1623"/>
      <c r="AB29" s="1623"/>
      <c r="AC29" s="1623"/>
      <c r="AD29" s="1623"/>
      <c r="AE29" s="1623"/>
      <c r="AF29" s="1623"/>
    </row>
    <row r="30" spans="1:35" ht="25.5" thickBot="1">
      <c r="A30" s="2246"/>
      <c r="B30" s="1621" t="s">
        <v>2621</v>
      </c>
      <c r="C30" s="2170">
        <f ca="1">ROUND(IF(E2="工业",C29*M39,C29*M38),0)</f>
        <v>0</v>
      </c>
      <c r="D30" s="2247"/>
      <c r="E30" s="2029">
        <f ca="1">ROUND(C30*D30,0)</f>
        <v>0</v>
      </c>
      <c r="F30" s="2248" t="s">
        <v>2622</v>
      </c>
      <c r="G30" s="2249"/>
      <c r="H30" s="2249"/>
      <c r="I30" s="2249"/>
      <c r="J30" s="2250"/>
      <c r="K30" s="3048"/>
      <c r="L30" s="3048"/>
      <c r="M30" s="3048"/>
      <c r="N30" s="3048"/>
      <c r="O30" s="3048"/>
      <c r="P30" s="3048"/>
      <c r="Q30" s="3048"/>
      <c r="R30" s="3048"/>
      <c r="S30" s="3048"/>
      <c r="T30" s="3048"/>
      <c r="U30" s="3048"/>
      <c r="V30" s="3048"/>
      <c r="W30" s="3048"/>
      <c r="X30" s="1623"/>
      <c r="Y30" s="1623"/>
      <c r="Z30" s="1623"/>
      <c r="AA30" s="1623"/>
      <c r="AB30" s="1623"/>
      <c r="AC30" s="1623"/>
      <c r="AD30" s="1623"/>
      <c r="AE30" s="1623"/>
      <c r="AF30" s="1623"/>
    </row>
    <row r="31" spans="1:35">
      <c r="A31" s="2251"/>
      <c r="B31" s="1622" t="s">
        <v>2623</v>
      </c>
      <c r="C31" s="2252" t="s">
        <v>2624</v>
      </c>
      <c r="D31" s="2154"/>
      <c r="E31" s="2252"/>
      <c r="F31" s="2252"/>
      <c r="G31" s="2153" t="s">
        <v>2625</v>
      </c>
      <c r="H31" s="2154"/>
      <c r="I31" s="2253"/>
      <c r="J31" s="2155"/>
      <c r="K31" s="3048"/>
      <c r="L31" s="3048"/>
      <c r="M31" s="3048"/>
      <c r="N31" s="3048"/>
      <c r="O31" s="3048"/>
      <c r="P31" s="3048"/>
      <c r="Q31" s="3048"/>
      <c r="R31" s="3048"/>
      <c r="S31" s="3048"/>
      <c r="T31" s="3048"/>
      <c r="U31" s="3048"/>
      <c r="V31" s="3048"/>
      <c r="W31" s="3048"/>
      <c r="X31" s="1623"/>
      <c r="Y31" s="1623"/>
      <c r="Z31" s="1623"/>
      <c r="AA31" s="1623"/>
      <c r="AB31" s="1623"/>
      <c r="AC31" s="1623"/>
      <c r="AD31" s="1623"/>
      <c r="AE31" s="1623"/>
      <c r="AF31" s="1623"/>
    </row>
    <row r="32" spans="1:35" ht="24">
      <c r="A32" s="2241"/>
      <c r="B32" s="2254"/>
      <c r="C32" s="1809" t="s">
        <v>2616</v>
      </c>
      <c r="D32" s="1806" t="s">
        <v>2617</v>
      </c>
      <c r="E32" s="1806" t="s">
        <v>2618</v>
      </c>
      <c r="F32" s="50" t="s">
        <v>2626</v>
      </c>
      <c r="G32" s="2215" t="s">
        <v>2616</v>
      </c>
      <c r="H32" s="2215" t="s">
        <v>2617</v>
      </c>
      <c r="I32" s="2215" t="s">
        <v>2618</v>
      </c>
      <c r="J32" s="2067"/>
      <c r="K32" s="3048"/>
      <c r="L32" s="3048"/>
      <c r="M32" s="3048"/>
      <c r="N32" s="3048"/>
      <c r="O32" s="3048"/>
      <c r="P32" s="3048"/>
      <c r="Q32" s="3048"/>
      <c r="R32" s="3048"/>
      <c r="S32" s="3048"/>
      <c r="T32" s="3048"/>
      <c r="U32" s="3048"/>
      <c r="V32" s="3048"/>
      <c r="W32" s="3048"/>
      <c r="X32" s="1623"/>
      <c r="Y32" s="1623"/>
      <c r="Z32" s="1623"/>
      <c r="AA32" s="1623"/>
      <c r="AB32" s="1623"/>
      <c r="AC32" s="1623"/>
      <c r="AD32" s="1623"/>
      <c r="AE32" s="1623"/>
      <c r="AF32" s="1623"/>
    </row>
    <row r="33" spans="1:33">
      <c r="A33" s="3810" t="s">
        <v>2627</v>
      </c>
      <c r="B33" s="2255" t="s">
        <v>2628</v>
      </c>
      <c r="C33" s="54">
        <f ca="1">ROUND(D5*C19*C20*C24*F33,0)</f>
        <v>0</v>
      </c>
      <c r="D33" s="2242"/>
      <c r="E33" s="50">
        <f t="shared" ref="E33:E39" ca="1" si="6">ROUND(C33*D33,0)</f>
        <v>0</v>
      </c>
      <c r="F33" s="50">
        <f>SUMIF(修正!A45:A56,G2,修正!B45:B56)</f>
        <v>0</v>
      </c>
      <c r="G33" s="50">
        <f t="shared" ref="G33" ca="1" si="7">ROUND(IF(E2="工业",C33*$M$39,C33*$M$38),0)</f>
        <v>0</v>
      </c>
      <c r="H33" s="50">
        <f>D33</f>
        <v>0</v>
      </c>
      <c r="I33" s="50">
        <f t="shared" ref="I33:I39" ca="1" si="8">ROUND(G33*H33,0)</f>
        <v>0</v>
      </c>
      <c r="J33" s="2229"/>
      <c r="K33" s="3048"/>
      <c r="L33" s="3048"/>
      <c r="M33" s="3048"/>
      <c r="N33" s="3048"/>
      <c r="O33" s="3048"/>
      <c r="P33" s="3048"/>
      <c r="Q33" s="3048"/>
      <c r="R33" s="3048"/>
      <c r="S33" s="3048"/>
      <c r="T33" s="3048"/>
      <c r="U33" s="3048"/>
      <c r="V33" s="3048"/>
      <c r="W33" s="3048"/>
      <c r="X33" s="1623"/>
      <c r="Y33" s="1623"/>
      <c r="Z33" s="1623"/>
      <c r="AA33" s="1623"/>
      <c r="AB33" s="1623"/>
      <c r="AC33" s="1623"/>
      <c r="AD33" s="1623"/>
      <c r="AE33" s="1623"/>
      <c r="AF33" s="1623"/>
    </row>
    <row r="34" spans="1:33">
      <c r="A34" s="3811"/>
      <c r="B34" s="2160" t="s">
        <v>2629</v>
      </c>
      <c r="C34" s="54">
        <f ca="1">ROUND(D5*C19*C20*C24*F34,0)</f>
        <v>0</v>
      </c>
      <c r="D34" s="2242"/>
      <c r="E34" s="50">
        <f t="shared" ca="1" si="6"/>
        <v>0</v>
      </c>
      <c r="F34" s="50">
        <f>SUMIF(修正!A45:A56,G2,修正!C45:C56)</f>
        <v>0</v>
      </c>
      <c r="G34" s="50">
        <f ca="1">ROUND(IF(E2="工业",C34*$M$39,C34*$M$38),0)</f>
        <v>0</v>
      </c>
      <c r="H34" s="50">
        <f t="shared" ref="H34:H39" si="9">D34</f>
        <v>0</v>
      </c>
      <c r="I34" s="50">
        <f t="shared" ca="1" si="8"/>
        <v>0</v>
      </c>
      <c r="J34" s="2229"/>
      <c r="K34" s="3048"/>
      <c r="L34" s="3048"/>
      <c r="M34" s="3048"/>
      <c r="N34" s="3048"/>
      <c r="O34" s="3048"/>
      <c r="P34" s="3048"/>
      <c r="Q34" s="3048"/>
      <c r="R34" s="3048"/>
      <c r="S34" s="3048"/>
      <c r="T34" s="3048"/>
      <c r="U34" s="3048"/>
      <c r="V34" s="3048"/>
      <c r="W34" s="3048"/>
      <c r="X34" s="1623"/>
      <c r="Y34" s="1623"/>
      <c r="Z34" s="1623"/>
      <c r="AA34" s="1623"/>
      <c r="AB34" s="1623"/>
      <c r="AC34" s="1623"/>
      <c r="AD34" s="1623"/>
      <c r="AE34" s="1623"/>
      <c r="AF34" s="1623"/>
    </row>
    <row r="35" spans="1:33">
      <c r="A35" s="3811"/>
      <c r="B35" s="2160" t="s">
        <v>2630</v>
      </c>
      <c r="C35" s="54">
        <f ca="1">ROUND(D5*C19*C20*C24*F35,0)</f>
        <v>0</v>
      </c>
      <c r="D35" s="2242"/>
      <c r="E35" s="50">
        <f t="shared" ca="1" si="6"/>
        <v>0</v>
      </c>
      <c r="F35" s="50">
        <f>SUMIF(修正!A45:A56,G2,修正!D45:D56)</f>
        <v>0</v>
      </c>
      <c r="G35" s="50">
        <f ca="1">ROUND(IF(E2="工业",C35*$M$39,C35*$M$38),0)</f>
        <v>0</v>
      </c>
      <c r="H35" s="50">
        <f t="shared" si="9"/>
        <v>0</v>
      </c>
      <c r="I35" s="50">
        <f t="shared" ca="1" si="8"/>
        <v>0</v>
      </c>
      <c r="J35" s="2229"/>
      <c r="K35" s="3048"/>
      <c r="L35" s="3048"/>
      <c r="M35" s="3048"/>
      <c r="N35" s="3048"/>
      <c r="O35" s="3048"/>
      <c r="P35" s="3048"/>
      <c r="Q35" s="3048"/>
      <c r="R35" s="3048"/>
      <c r="S35" s="3048"/>
      <c r="T35" s="3048"/>
      <c r="U35" s="3048"/>
      <c r="V35" s="3048"/>
      <c r="W35" s="3048"/>
      <c r="X35" s="1623"/>
      <c r="Y35" s="1623"/>
      <c r="Z35" s="1623"/>
      <c r="AA35" s="1623"/>
      <c r="AB35" s="1623"/>
      <c r="AC35" s="1623"/>
      <c r="AD35" s="1623"/>
      <c r="AE35" s="1623"/>
      <c r="AF35" s="1623"/>
    </row>
    <row r="36" spans="1:33" ht="13.5" thickBot="1">
      <c r="A36" s="3812"/>
      <c r="B36" s="2160" t="s">
        <v>2631</v>
      </c>
      <c r="C36" s="54">
        <f ca="1">ROUND(D5*C19*C20*C24*F36,0)</f>
        <v>0</v>
      </c>
      <c r="D36" s="2242"/>
      <c r="E36" s="50">
        <f t="shared" ca="1" si="6"/>
        <v>0</v>
      </c>
      <c r="F36" s="50">
        <f>SUMIF(修正!A45:A56,G2,修正!E45:E56)</f>
        <v>0</v>
      </c>
      <c r="G36" s="50">
        <f ca="1">ROUND(IF(E2="工业",C36*$M$39,C36*$M$38),0)</f>
        <v>0</v>
      </c>
      <c r="H36" s="50">
        <f t="shared" si="9"/>
        <v>0</v>
      </c>
      <c r="I36" s="50">
        <f t="shared" ca="1" si="8"/>
        <v>0</v>
      </c>
      <c r="J36" s="2229"/>
      <c r="K36" s="3048"/>
      <c r="L36" s="3048"/>
      <c r="M36" s="3048"/>
      <c r="N36" s="3048"/>
      <c r="O36" s="3048"/>
      <c r="P36" s="3048"/>
      <c r="Q36" s="3048"/>
      <c r="R36" s="3048"/>
      <c r="S36" s="3048"/>
      <c r="T36" s="3048"/>
      <c r="U36" s="3048"/>
      <c r="V36" s="3048"/>
      <c r="W36" s="3048"/>
      <c r="X36" s="1623"/>
      <c r="Y36" s="1623"/>
      <c r="Z36" s="1623"/>
      <c r="AA36" s="1623"/>
      <c r="AB36" s="1623"/>
      <c r="AC36" s="1623"/>
      <c r="AD36" s="1623"/>
      <c r="AE36" s="1623"/>
      <c r="AF36" s="1623"/>
    </row>
    <row r="37" spans="1:33">
      <c r="A37" s="2256"/>
      <c r="B37" s="2160" t="s">
        <v>2632</v>
      </c>
      <c r="C37" s="50">
        <f ca="1">ROUND(D5*C19*C20*C24*F37,0)</f>
        <v>0</v>
      </c>
      <c r="D37" s="2242"/>
      <c r="E37" s="50">
        <f t="shared" ca="1" si="6"/>
        <v>0</v>
      </c>
      <c r="F37" s="54">
        <f>SUMIF(修正!A45:A56,G2,修正!F45:F56)</f>
        <v>0</v>
      </c>
      <c r="G37" s="50">
        <f ca="1">ROUND(IF(E2="工业",C37*$M$39,C37*$M$38),0)</f>
        <v>0</v>
      </c>
      <c r="H37" s="50">
        <f t="shared" si="9"/>
        <v>0</v>
      </c>
      <c r="I37" s="50">
        <f t="shared" ca="1" si="8"/>
        <v>0</v>
      </c>
      <c r="J37" s="2229"/>
      <c r="K37" s="3048"/>
      <c r="L37" s="2257" t="s">
        <v>2633</v>
      </c>
      <c r="M37" s="2133"/>
      <c r="N37" s="3048"/>
      <c r="O37" s="3048"/>
      <c r="P37" s="3048"/>
      <c r="Q37" s="3048"/>
      <c r="R37" s="3048"/>
      <c r="S37" s="3048"/>
      <c r="T37" s="3048"/>
      <c r="U37" s="3048"/>
      <c r="V37" s="3048"/>
      <c r="W37" s="3048"/>
      <c r="X37" s="1623"/>
      <c r="Y37" s="1623"/>
      <c r="Z37" s="1623"/>
      <c r="AA37" s="1623"/>
      <c r="AB37" s="1623"/>
      <c r="AC37" s="1623"/>
      <c r="AD37" s="1623"/>
      <c r="AE37" s="1623"/>
      <c r="AF37" s="1623"/>
    </row>
    <row r="38" spans="1:33">
      <c r="A38" s="2256"/>
      <c r="B38" s="2160" t="s">
        <v>2634</v>
      </c>
      <c r="C38" s="50">
        <f ca="1">ROUND(D5*C19*C41*C24*F38,0)</f>
        <v>0</v>
      </c>
      <c r="D38" s="2242"/>
      <c r="E38" s="50">
        <f t="shared" ca="1" si="6"/>
        <v>0</v>
      </c>
      <c r="F38" s="54">
        <f>SUMIF(修正!A45:A56,G2,修正!G45:G56)</f>
        <v>0</v>
      </c>
      <c r="G38" s="50">
        <f ca="1">ROUND(IF(E2="工业",C38*$M$39,C38*$M$38),0)</f>
        <v>0</v>
      </c>
      <c r="H38" s="50">
        <f t="shared" si="9"/>
        <v>0</v>
      </c>
      <c r="I38" s="50">
        <f t="shared" ca="1" si="8"/>
        <v>0</v>
      </c>
      <c r="J38" s="2229"/>
      <c r="K38" s="3048"/>
      <c r="L38" s="2258" t="s">
        <v>2635</v>
      </c>
      <c r="M38" s="2259">
        <v>0.25</v>
      </c>
      <c r="N38" s="3048"/>
      <c r="O38" s="3048"/>
      <c r="P38" s="3048"/>
      <c r="Q38" s="3048"/>
      <c r="R38" s="3048"/>
      <c r="S38" s="3048"/>
      <c r="T38" s="3048"/>
      <c r="U38" s="3048"/>
      <c r="V38" s="3048"/>
      <c r="W38" s="3048"/>
      <c r="X38" s="1623"/>
      <c r="Y38" s="1623"/>
      <c r="Z38" s="1623"/>
      <c r="AA38" s="1623"/>
      <c r="AB38" s="1623"/>
      <c r="AC38" s="1623"/>
      <c r="AD38" s="1623"/>
      <c r="AE38" s="1623"/>
      <c r="AF38" s="1623"/>
    </row>
    <row r="39" spans="1:33" ht="13.5" thickBot="1">
      <c r="A39" s="2246"/>
      <c r="B39" s="2260" t="s">
        <v>2636</v>
      </c>
      <c r="C39" s="2170">
        <f ca="1">ROUND(D5*C19*C41*C24*F39,0)</f>
        <v>0</v>
      </c>
      <c r="D39" s="2247"/>
      <c r="E39" s="2170">
        <f t="shared" ca="1" si="6"/>
        <v>0</v>
      </c>
      <c r="F39" s="56">
        <f>SUMIF(修正!A45:A56,G2,修正!H45:H56)</f>
        <v>0</v>
      </c>
      <c r="G39" s="2170">
        <f ca="1">ROUND(IF(E2="工业",C39*$M$39,C39*$M$38),0)</f>
        <v>0</v>
      </c>
      <c r="H39" s="2170">
        <f t="shared" si="9"/>
        <v>0</v>
      </c>
      <c r="I39" s="2170">
        <f t="shared" ca="1" si="8"/>
        <v>0</v>
      </c>
      <c r="J39" s="2233"/>
      <c r="K39" s="3048"/>
      <c r="L39" s="2261" t="s">
        <v>2576</v>
      </c>
      <c r="M39" s="2262">
        <v>0.15</v>
      </c>
      <c r="N39" s="3048"/>
      <c r="O39" s="3048"/>
      <c r="P39" s="3048"/>
      <c r="Q39" s="3048"/>
      <c r="R39" s="3048"/>
      <c r="S39" s="3048"/>
      <c r="T39" s="3048"/>
      <c r="U39" s="3048"/>
      <c r="V39" s="3048"/>
      <c r="W39" s="3048"/>
      <c r="X39" s="1623"/>
      <c r="Y39" s="1623"/>
      <c r="Z39" s="1623"/>
      <c r="AA39" s="1623"/>
      <c r="AB39" s="1623"/>
      <c r="AC39" s="1623"/>
      <c r="AD39" s="1623"/>
      <c r="AE39" s="1623"/>
      <c r="AF39" s="1623"/>
    </row>
    <row r="40" spans="1:33" s="2263" customFormat="1">
      <c r="A40" s="1623"/>
      <c r="B40" s="1623"/>
      <c r="C40" s="1623"/>
      <c r="D40" s="1623"/>
      <c r="E40" s="1623"/>
      <c r="F40" s="1623"/>
      <c r="G40" s="1623"/>
      <c r="H40" s="1623"/>
      <c r="I40" s="1623"/>
      <c r="J40" s="1623"/>
      <c r="K40" s="3048"/>
      <c r="L40" s="3048"/>
      <c r="M40" s="3048"/>
      <c r="N40" s="3048"/>
      <c r="O40" s="3048"/>
      <c r="P40" s="3048"/>
      <c r="Q40" s="3048"/>
      <c r="R40" s="3048"/>
      <c r="S40" s="3048"/>
      <c r="T40" s="3048"/>
      <c r="U40" s="3048"/>
      <c r="V40" s="3048"/>
      <c r="W40" s="3048"/>
      <c r="X40" s="1623"/>
      <c r="Y40" s="1623"/>
      <c r="Z40" s="1623"/>
      <c r="AA40" s="1623"/>
      <c r="AB40" s="1623"/>
      <c r="AC40" s="1623"/>
      <c r="AD40" s="1623"/>
      <c r="AE40" s="1623"/>
      <c r="AF40" s="1623"/>
    </row>
    <row r="41" spans="1:33" s="2263" customFormat="1">
      <c r="A41" s="1623"/>
      <c r="B41" s="2264" t="s">
        <v>2716</v>
      </c>
      <c r="C41" s="50">
        <f ca="1">ROUND(POWER(1+E41,H41-G41)*(POWER(1+E41,G41)-1)/(POWER(1+E41,H41)-1),4)</f>
        <v>0</v>
      </c>
      <c r="D41" s="50" t="s">
        <v>2714</v>
      </c>
      <c r="E41" s="2265">
        <f ca="1">G20</f>
        <v>6.0999999999999999E-2</v>
      </c>
      <c r="F41" s="50" t="s">
        <v>2715</v>
      </c>
      <c r="G41" s="2266"/>
      <c r="H41" s="50">
        <v>50</v>
      </c>
      <c r="I41" s="1623"/>
      <c r="J41" s="1623"/>
      <c r="K41" s="3048"/>
      <c r="L41" s="3048"/>
      <c r="M41" s="3048"/>
      <c r="N41" s="3048"/>
      <c r="O41" s="3048"/>
      <c r="P41" s="3048"/>
      <c r="Q41" s="3048"/>
      <c r="R41" s="3048"/>
      <c r="S41" s="3048"/>
      <c r="T41" s="3048"/>
      <c r="U41" s="3048"/>
      <c r="V41" s="3048"/>
      <c r="W41" s="3048"/>
      <c r="X41" s="1623"/>
      <c r="Y41" s="1623"/>
      <c r="Z41" s="1623"/>
      <c r="AA41" s="1623"/>
      <c r="AB41" s="1623"/>
      <c r="AC41" s="1623"/>
      <c r="AD41" s="1623"/>
      <c r="AE41" s="1623"/>
      <c r="AF41" s="1623"/>
    </row>
    <row r="42" spans="1:33" s="2263"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3"/>
      <c r="Y42" s="1623"/>
      <c r="Z42" s="1623"/>
      <c r="AA42" s="1623"/>
      <c r="AB42" s="1623"/>
      <c r="AC42" s="1623"/>
      <c r="AD42" s="1623"/>
      <c r="AE42" s="1623"/>
      <c r="AF42" s="1623"/>
    </row>
    <row r="43" spans="1:33" s="2263"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3"/>
      <c r="Y43" s="1623"/>
      <c r="Z43" s="1623"/>
      <c r="AA43" s="1623"/>
      <c r="AB43" s="1623"/>
      <c r="AC43" s="1623"/>
      <c r="AD43" s="1623"/>
      <c r="AE43" s="1623"/>
      <c r="AF43" s="1623"/>
    </row>
    <row r="44" spans="1:33" s="2263"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3"/>
      <c r="Y44" s="1623"/>
      <c r="Z44" s="1623"/>
      <c r="AA44" s="1623"/>
      <c r="AB44" s="1623"/>
      <c r="AC44" s="1623"/>
      <c r="AD44" s="1623"/>
      <c r="AE44" s="1623"/>
      <c r="AF44" s="1623"/>
    </row>
    <row r="45" spans="1:33" s="2263" customFormat="1" ht="15.75" thickBot="1">
      <c r="A45" s="2267" t="s">
        <v>2637</v>
      </c>
      <c r="B45" s="2268"/>
      <c r="C45" s="608"/>
      <c r="D45" s="608"/>
      <c r="E45" s="608"/>
      <c r="F45" s="608"/>
      <c r="G45" s="608"/>
      <c r="H45" s="608"/>
      <c r="I45" s="608"/>
      <c r="J45" s="608"/>
      <c r="K45" s="608"/>
      <c r="L45" s="608"/>
      <c r="M45" s="608"/>
      <c r="N45" s="2098"/>
      <c r="O45" s="1623"/>
      <c r="P45" s="1623"/>
      <c r="Q45" s="3048"/>
      <c r="R45" s="3048"/>
      <c r="S45" s="3048"/>
      <c r="T45" s="3048"/>
      <c r="U45" s="3048"/>
      <c r="V45" s="3048"/>
      <c r="W45" s="3048"/>
      <c r="X45" s="1623"/>
      <c r="Y45" s="1623"/>
      <c r="Z45" s="1623"/>
      <c r="AA45" s="1623"/>
      <c r="AB45" s="1623"/>
      <c r="AC45" s="1623"/>
      <c r="AD45" s="1623"/>
      <c r="AE45" s="1623"/>
      <c r="AF45" s="1623"/>
    </row>
    <row r="46" spans="1:33" s="2263" customFormat="1" ht="15">
      <c r="A46" s="2269" t="s">
        <v>2638</v>
      </c>
      <c r="B46" s="2270">
        <f>1+E48</f>
        <v>1</v>
      </c>
      <c r="C46" s="2271"/>
      <c r="D46" s="2272"/>
      <c r="E46" s="2273"/>
      <c r="F46" s="2274"/>
      <c r="G46" s="608"/>
      <c r="H46" s="608"/>
      <c r="I46" s="608"/>
      <c r="J46" s="608"/>
      <c r="K46" s="608"/>
      <c r="L46" s="608"/>
      <c r="M46" s="2098"/>
      <c r="N46" s="2275"/>
      <c r="O46" s="1623"/>
      <c r="P46" s="1623"/>
      <c r="Q46" s="3048"/>
      <c r="R46" s="3048"/>
      <c r="S46" s="3048"/>
      <c r="T46" s="3048"/>
      <c r="U46" s="3048"/>
      <c r="V46" s="3048"/>
      <c r="W46" s="3048"/>
      <c r="X46" s="1623"/>
      <c r="Y46" s="1623"/>
      <c r="Z46" s="1623"/>
      <c r="AA46" s="1623"/>
      <c r="AB46" s="1623"/>
      <c r="AC46" s="1623"/>
      <c r="AD46" s="1623"/>
      <c r="AE46" s="1623"/>
    </row>
    <row r="47" spans="1:33" s="2263" customFormat="1" ht="24.75">
      <c r="A47" s="2276" t="s">
        <v>2639</v>
      </c>
      <c r="B47" s="2277" t="s">
        <v>2640</v>
      </c>
      <c r="C47" s="2277" t="s">
        <v>2641</v>
      </c>
      <c r="D47" s="2277" t="s">
        <v>2642</v>
      </c>
      <c r="E47" s="2278" t="s">
        <v>2643</v>
      </c>
      <c r="F47" s="2228" t="s">
        <v>2644</v>
      </c>
      <c r="G47" s="2277" t="s">
        <v>2645</v>
      </c>
      <c r="H47" s="2279" t="s">
        <v>2646</v>
      </c>
      <c r="I47" s="2277" t="s">
        <v>2647</v>
      </c>
      <c r="J47" s="1904" t="s">
        <v>2648</v>
      </c>
      <c r="K47" s="1904" t="s">
        <v>2649</v>
      </c>
      <c r="L47" s="1904" t="s">
        <v>2650</v>
      </c>
      <c r="M47" s="1904" t="s">
        <v>2651</v>
      </c>
      <c r="N47" s="1904" t="s">
        <v>2652</v>
      </c>
      <c r="O47" s="1623"/>
      <c r="P47" s="1623"/>
      <c r="Q47" s="3048"/>
      <c r="R47" s="3048"/>
      <c r="S47" s="3048"/>
      <c r="T47" s="3048"/>
      <c r="U47" s="3048"/>
      <c r="V47" s="3048"/>
      <c r="W47" s="3048"/>
      <c r="X47" s="1623"/>
      <c r="Y47" s="1623"/>
      <c r="Z47" s="1623"/>
      <c r="AA47" s="1623"/>
      <c r="AB47" s="1623"/>
      <c r="AC47" s="1623"/>
      <c r="AD47" s="1623"/>
      <c r="AE47" s="1623"/>
      <c r="AF47" s="1623"/>
      <c r="AG47" s="1623"/>
    </row>
    <row r="48" spans="1:33" s="2263" customFormat="1" ht="38.25">
      <c r="A48" s="2276" t="s">
        <v>2653</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3"/>
      <c r="P48" s="1623"/>
      <c r="Q48" s="3048"/>
      <c r="R48" s="3048"/>
      <c r="S48" s="3048"/>
      <c r="T48" s="3048"/>
      <c r="U48" s="3048"/>
      <c r="V48" s="3048"/>
      <c r="W48" s="3048"/>
      <c r="X48" s="1623"/>
      <c r="Y48" s="1623"/>
      <c r="Z48" s="1623"/>
      <c r="AA48" s="1623"/>
      <c r="AB48" s="1623"/>
      <c r="AC48" s="1623"/>
      <c r="AD48" s="1623"/>
      <c r="AE48" s="1623"/>
      <c r="AF48" s="1623"/>
      <c r="AG48" s="1623"/>
    </row>
    <row r="49" spans="1:33" s="2263" customFormat="1" ht="89.25">
      <c r="A49" s="2276" t="s">
        <v>2654</v>
      </c>
      <c r="B49" s="2288" t="str">
        <f>估价对象房地状况!C18</f>
        <v>距地铁1号线四惠站（换乘站）约1000米（2003），距地铁7号线百子湾站约1.5公里（2014），周边有多条公交线路通过，交通便捷度较好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3"/>
      <c r="P49" s="1623"/>
      <c r="Q49" s="3048"/>
      <c r="R49" s="3048"/>
      <c r="S49" s="3048"/>
      <c r="T49" s="3048"/>
      <c r="U49" s="3048"/>
      <c r="V49" s="3048"/>
      <c r="W49" s="3048"/>
      <c r="X49" s="1623"/>
      <c r="Y49" s="1623"/>
      <c r="Z49" s="1623"/>
      <c r="AA49" s="1623"/>
      <c r="AB49" s="1623"/>
      <c r="AC49" s="1623"/>
      <c r="AD49" s="1623"/>
      <c r="AE49" s="1623"/>
      <c r="AF49" s="1623"/>
      <c r="AG49" s="1623"/>
    </row>
    <row r="50" spans="1:33" s="2263" customFormat="1" ht="24">
      <c r="A50" s="2276" t="s">
        <v>2655</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3"/>
      <c r="P50" s="1623"/>
      <c r="Q50" s="3048"/>
      <c r="R50" s="3048"/>
      <c r="S50" s="3048"/>
      <c r="T50" s="3048"/>
      <c r="U50" s="3048"/>
      <c r="V50" s="3048"/>
      <c r="W50" s="3048"/>
      <c r="X50" s="1623"/>
      <c r="Y50" s="1623"/>
      <c r="Z50" s="1623"/>
      <c r="AA50" s="1623"/>
      <c r="AB50" s="1623"/>
      <c r="AC50" s="1623"/>
      <c r="AD50" s="1623"/>
      <c r="AE50" s="1623"/>
      <c r="AF50" s="1623"/>
      <c r="AG50" s="1623"/>
    </row>
    <row r="51" spans="1:33" s="2263" customFormat="1" ht="36.75">
      <c r="A51" s="2276" t="s">
        <v>2656</v>
      </c>
      <c r="B51" s="2290" t="s">
        <v>2657</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3"/>
      <c r="P51" s="1623"/>
      <c r="Q51" s="3048"/>
      <c r="R51" s="3048"/>
      <c r="S51" s="3048"/>
      <c r="T51" s="3048"/>
      <c r="U51" s="3048"/>
      <c r="V51" s="3048"/>
      <c r="W51" s="3048"/>
      <c r="X51" s="1623"/>
      <c r="Y51" s="1623"/>
      <c r="Z51" s="1623"/>
      <c r="AA51" s="1623"/>
      <c r="AB51" s="1623"/>
      <c r="AC51" s="1623"/>
      <c r="AD51" s="1623"/>
      <c r="AE51" s="1623"/>
      <c r="AF51" s="1623"/>
      <c r="AG51" s="1623"/>
    </row>
    <row r="52" spans="1:33" s="2263" customFormat="1" ht="24">
      <c r="A52" s="2276" t="s">
        <v>2658</v>
      </c>
      <c r="B52" s="2288" t="str">
        <f>估价对象房地状况!C24</f>
        <v>城市次干道-百子湾路</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3"/>
      <c r="P52" s="1623"/>
      <c r="Q52" s="3048"/>
      <c r="R52" s="3048"/>
      <c r="S52" s="3048"/>
      <c r="T52" s="3048"/>
      <c r="U52" s="3048"/>
      <c r="V52" s="3048"/>
      <c r="W52" s="3048"/>
      <c r="X52" s="1623"/>
      <c r="Y52" s="1623"/>
      <c r="Z52" s="1623"/>
      <c r="AA52" s="1623"/>
      <c r="AB52" s="1623"/>
      <c r="AC52" s="1623"/>
      <c r="AD52" s="1623"/>
      <c r="AE52" s="1623"/>
      <c r="AF52" s="1623"/>
      <c r="AG52" s="1623"/>
    </row>
    <row r="53" spans="1:33" s="2263" customFormat="1" ht="24">
      <c r="A53" s="2276" t="s">
        <v>2659</v>
      </c>
      <c r="B53" s="2291" t="s">
        <v>2660</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3"/>
      <c r="P53" s="1623"/>
      <c r="Q53" s="3048"/>
      <c r="R53" s="3048"/>
      <c r="S53" s="3048"/>
      <c r="T53" s="3048"/>
      <c r="U53" s="3048"/>
      <c r="V53" s="3048"/>
      <c r="W53" s="3048"/>
      <c r="X53" s="1623"/>
      <c r="Y53" s="1623"/>
      <c r="Z53" s="1623"/>
      <c r="AA53" s="1623"/>
      <c r="AB53" s="1623"/>
      <c r="AC53" s="1623"/>
      <c r="AD53" s="1623"/>
      <c r="AE53" s="1623"/>
      <c r="AF53" s="1623"/>
      <c r="AG53" s="1623"/>
    </row>
    <row r="54" spans="1:33" s="2263" customFormat="1" ht="114.75">
      <c r="A54" s="2292" t="s">
        <v>2661</v>
      </c>
      <c r="B54" s="2293" t="str">
        <f>估价对象房地状况!C21</f>
        <v>华堂商场（十里堡店）、北京四惠中医医院（2016）、北京市朝阳区日坛小学（1962）、垂杨柳第四小学（1971）、北京市第十七中学（百子湾校区）（1946）、北京市日坛中学（四惠校区）（2015）</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3"/>
      <c r="P54" s="1623"/>
      <c r="Q54" s="3048"/>
      <c r="R54" s="3048"/>
      <c r="S54" s="3048"/>
      <c r="T54" s="3048"/>
      <c r="U54" s="3048"/>
      <c r="V54" s="3048"/>
      <c r="W54" s="3048"/>
      <c r="X54" s="1623"/>
      <c r="Y54" s="1623"/>
      <c r="Z54" s="1623"/>
      <c r="AA54" s="1623"/>
      <c r="AB54" s="1623"/>
      <c r="AC54" s="1623"/>
      <c r="AD54" s="1623"/>
      <c r="AE54" s="1623"/>
      <c r="AF54" s="1623"/>
      <c r="AG54" s="1623"/>
    </row>
    <row r="55" spans="1:33" s="2263" customFormat="1" ht="24">
      <c r="A55" s="2292" t="s">
        <v>2662</v>
      </c>
      <c r="B55" s="2288" t="str">
        <f>估价对象房地状况!C22</f>
        <v>七通</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3"/>
      <c r="P55" s="1623"/>
      <c r="Q55" s="3048"/>
      <c r="R55" s="3048"/>
      <c r="S55" s="3048"/>
      <c r="T55" s="3048"/>
      <c r="U55" s="3048"/>
      <c r="V55" s="3048"/>
      <c r="W55" s="3048"/>
      <c r="X55" s="1623"/>
      <c r="Y55" s="1623"/>
      <c r="Z55" s="1623"/>
      <c r="AA55" s="1623"/>
      <c r="AB55" s="1623"/>
      <c r="AC55" s="1623"/>
      <c r="AD55" s="1623"/>
      <c r="AE55" s="1623"/>
      <c r="AF55" s="1623"/>
      <c r="AG55" s="1623"/>
    </row>
    <row r="56" spans="1:33" s="2263" customFormat="1" ht="77.25" thickBot="1">
      <c r="A56" s="2294" t="s">
        <v>2663</v>
      </c>
      <c r="B56" s="2295" t="str">
        <f>估价对象房地状况!C20</f>
        <v>区域自然环境：惠水湾森林公园（2019）、百子湾绿地公园（2019）；人文环境：北京政法职业学院(杨闸校区)；综合评价环境状况较好</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3"/>
      <c r="P56" s="1623"/>
      <c r="Q56" s="3048"/>
      <c r="R56" s="3048"/>
      <c r="S56" s="3048"/>
      <c r="T56" s="3048"/>
      <c r="U56" s="3048"/>
      <c r="V56" s="3048"/>
      <c r="W56" s="3048"/>
      <c r="X56" s="1623"/>
      <c r="Y56" s="1623"/>
      <c r="Z56" s="1623"/>
      <c r="AA56" s="1623"/>
      <c r="AB56" s="1623"/>
      <c r="AC56" s="1623"/>
      <c r="AD56" s="1623"/>
      <c r="AE56" s="1623"/>
      <c r="AF56" s="1623"/>
      <c r="AG56" s="1623"/>
    </row>
    <row r="57" spans="1:33" s="2263" customFormat="1" ht="15">
      <c r="A57" s="2269" t="s">
        <v>2664</v>
      </c>
      <c r="B57" s="2298">
        <f>1+E59</f>
        <v>1</v>
      </c>
      <c r="C57" s="2272"/>
      <c r="D57" s="2272"/>
      <c r="E57" s="2273"/>
      <c r="F57" s="2274"/>
      <c r="G57" s="608"/>
      <c r="H57" s="608"/>
      <c r="I57" s="608"/>
      <c r="J57" s="608"/>
      <c r="K57" s="608"/>
      <c r="L57" s="608"/>
      <c r="M57" s="608"/>
      <c r="N57" s="608"/>
      <c r="O57" s="1623"/>
      <c r="P57" s="1623"/>
      <c r="Q57" s="3048"/>
      <c r="R57" s="3048"/>
      <c r="S57" s="3048"/>
      <c r="T57" s="3048"/>
      <c r="U57" s="3048"/>
      <c r="V57" s="3048"/>
      <c r="W57" s="3048"/>
      <c r="X57" s="1623"/>
      <c r="Y57" s="1623"/>
      <c r="Z57" s="1623"/>
      <c r="AA57" s="1623"/>
      <c r="AB57" s="1623"/>
      <c r="AC57" s="1623"/>
      <c r="AD57" s="1623"/>
      <c r="AE57" s="1623"/>
      <c r="AF57" s="1623"/>
      <c r="AG57" s="1623"/>
    </row>
    <row r="58" spans="1:33" s="2263" customFormat="1" ht="24.75">
      <c r="A58" s="2276" t="s">
        <v>2639</v>
      </c>
      <c r="B58" s="2288"/>
      <c r="C58" s="2277" t="s">
        <v>2641</v>
      </c>
      <c r="D58" s="2277" t="s">
        <v>2642</v>
      </c>
      <c r="E58" s="2278" t="s">
        <v>2643</v>
      </c>
      <c r="F58" s="2228" t="s">
        <v>2644</v>
      </c>
      <c r="G58" s="2277" t="s">
        <v>2665</v>
      </c>
      <c r="H58" s="2279" t="s">
        <v>2666</v>
      </c>
      <c r="I58" s="2277" t="s">
        <v>2667</v>
      </c>
      <c r="J58" s="1904" t="s">
        <v>2307</v>
      </c>
      <c r="K58" s="1904" t="s">
        <v>2308</v>
      </c>
      <c r="L58" s="1904" t="s">
        <v>2309</v>
      </c>
      <c r="M58" s="1904" t="s">
        <v>2310</v>
      </c>
      <c r="N58" s="1904" t="s">
        <v>2311</v>
      </c>
      <c r="O58" s="1623"/>
      <c r="P58" s="1623"/>
      <c r="Q58" s="3048"/>
      <c r="R58" s="3048"/>
      <c r="S58" s="3048"/>
      <c r="T58" s="3048"/>
      <c r="U58" s="3048"/>
      <c r="V58" s="3048"/>
      <c r="W58" s="3048"/>
      <c r="X58" s="1623"/>
      <c r="Y58" s="1623"/>
      <c r="Z58" s="1623"/>
      <c r="AA58" s="1623"/>
      <c r="AB58" s="1623"/>
      <c r="AC58" s="1623"/>
      <c r="AD58" s="1623"/>
      <c r="AE58" s="1623"/>
      <c r="AF58" s="1623"/>
      <c r="AG58" s="1623"/>
    </row>
    <row r="59" spans="1:33" s="2263" customFormat="1" ht="38.25">
      <c r="A59" s="2276" t="s">
        <v>2668</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3"/>
      <c r="P59" s="1623"/>
      <c r="Q59" s="3048"/>
      <c r="R59" s="3048"/>
      <c r="S59" s="3048"/>
      <c r="T59" s="3048"/>
      <c r="U59" s="3048"/>
      <c r="V59" s="3048"/>
      <c r="W59" s="3048"/>
      <c r="X59" s="1623"/>
      <c r="Y59" s="1623"/>
      <c r="Z59" s="1623"/>
      <c r="AA59" s="1623"/>
      <c r="AB59" s="1623"/>
      <c r="AC59" s="1623"/>
      <c r="AD59" s="1623"/>
      <c r="AE59" s="1623"/>
      <c r="AF59" s="1623"/>
      <c r="AG59" s="1623"/>
    </row>
    <row r="60" spans="1:33" s="2263" customFormat="1" ht="89.25">
      <c r="A60" s="2276" t="s">
        <v>2654</v>
      </c>
      <c r="B60" s="2288" t="str">
        <f>估价对象房地状况!C18</f>
        <v>距地铁1号线四惠站（换乘站）约1000米（2003），距地铁7号线百子湾站约1.5公里（2014），周边有多条公交线路通过，交通便捷度较好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3"/>
      <c r="P60" s="1623"/>
      <c r="Q60" s="3048"/>
      <c r="R60" s="3048"/>
      <c r="S60" s="3048"/>
      <c r="T60" s="3048"/>
      <c r="U60" s="3048"/>
      <c r="V60" s="3048"/>
      <c r="W60" s="3048"/>
      <c r="X60" s="1623"/>
      <c r="Y60" s="1623"/>
      <c r="Z60" s="1623"/>
      <c r="AA60" s="1623"/>
      <c r="AB60" s="1623"/>
      <c r="AC60" s="1623"/>
      <c r="AD60" s="1623"/>
      <c r="AE60" s="1623"/>
      <c r="AF60" s="1623"/>
      <c r="AG60" s="1623"/>
    </row>
    <row r="61" spans="1:33" s="2263" customFormat="1" ht="24">
      <c r="A61" s="2276" t="s">
        <v>2655</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3"/>
      <c r="P61" s="1623"/>
      <c r="Q61" s="3048"/>
      <c r="R61" s="3048"/>
      <c r="S61" s="3048"/>
      <c r="T61" s="3048"/>
      <c r="U61" s="3048"/>
      <c r="V61" s="3048"/>
      <c r="W61" s="3048"/>
      <c r="X61" s="1623"/>
      <c r="Y61" s="1623"/>
      <c r="Z61" s="1623"/>
      <c r="AA61" s="1623"/>
      <c r="AB61" s="1623"/>
      <c r="AC61" s="1623"/>
      <c r="AD61" s="1623"/>
      <c r="AE61" s="1623"/>
      <c r="AF61" s="1623"/>
      <c r="AG61" s="1623"/>
    </row>
    <row r="62" spans="1:33" s="2263" customFormat="1" ht="36.75">
      <c r="A62" s="2276" t="s">
        <v>2656</v>
      </c>
      <c r="B62" s="2290" t="s">
        <v>2657</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3"/>
      <c r="P62" s="1623"/>
      <c r="Q62" s="3048"/>
      <c r="R62" s="3048"/>
      <c r="S62" s="3048"/>
      <c r="T62" s="3048"/>
      <c r="U62" s="3048"/>
      <c r="V62" s="3048"/>
      <c r="W62" s="3048"/>
      <c r="X62" s="1623"/>
      <c r="Y62" s="1623"/>
      <c r="Z62" s="1623"/>
      <c r="AA62" s="1623"/>
      <c r="AB62" s="1623"/>
      <c r="AC62" s="1623"/>
      <c r="AD62" s="1623"/>
      <c r="AE62" s="1623"/>
      <c r="AF62" s="1623"/>
      <c r="AG62" s="1623"/>
    </row>
    <row r="63" spans="1:33" s="2263" customFormat="1" ht="24">
      <c r="A63" s="2276" t="s">
        <v>2658</v>
      </c>
      <c r="B63" s="2288" t="str">
        <f>估价对象房地状况!C24</f>
        <v>城市次干道-百子湾路</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3"/>
      <c r="P63" s="1623"/>
      <c r="Q63" s="3048"/>
      <c r="R63" s="3048"/>
      <c r="S63" s="3048"/>
      <c r="T63" s="3048"/>
      <c r="U63" s="3048"/>
      <c r="V63" s="3048"/>
      <c r="W63" s="3048"/>
      <c r="X63" s="1623"/>
      <c r="Y63" s="1623"/>
      <c r="Z63" s="1623"/>
      <c r="AA63" s="1623"/>
      <c r="AB63" s="1623"/>
      <c r="AC63" s="1623"/>
      <c r="AD63" s="1623"/>
      <c r="AE63" s="1623"/>
      <c r="AF63" s="1623"/>
      <c r="AG63" s="1623"/>
    </row>
    <row r="64" spans="1:33" s="2263" customFormat="1" ht="24">
      <c r="A64" s="2276" t="s">
        <v>2659</v>
      </c>
      <c r="B64" s="2291" t="s">
        <v>2660</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3"/>
      <c r="P64" s="1623"/>
      <c r="Q64" s="3048"/>
      <c r="R64" s="3048"/>
      <c r="S64" s="3048"/>
      <c r="T64" s="3048"/>
      <c r="U64" s="3048"/>
      <c r="V64" s="3048"/>
      <c r="W64" s="3048"/>
      <c r="X64" s="1623"/>
      <c r="Y64" s="1623"/>
      <c r="Z64" s="1623"/>
      <c r="AA64" s="1623"/>
      <c r="AB64" s="1623"/>
      <c r="AC64" s="1623"/>
      <c r="AD64" s="1623"/>
      <c r="AE64" s="1623"/>
      <c r="AF64" s="1623"/>
      <c r="AG64" s="1623"/>
    </row>
    <row r="65" spans="1:33" s="2263" customFormat="1" ht="114.75">
      <c r="A65" s="2276" t="s">
        <v>2661</v>
      </c>
      <c r="B65" s="2293" t="str">
        <f>估价对象房地状况!C21</f>
        <v>华堂商场（十里堡店）、北京四惠中医医院（2016）、北京市朝阳区日坛小学（1962）、垂杨柳第四小学（1971）、北京市第十七中学（百子湾校区）（1946）、北京市日坛中学（四惠校区）（2015）</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3"/>
      <c r="P65" s="1623"/>
      <c r="Q65" s="3048"/>
      <c r="R65" s="3048"/>
      <c r="S65" s="3048"/>
      <c r="T65" s="3048"/>
      <c r="U65" s="3048"/>
      <c r="V65" s="3048"/>
      <c r="W65" s="3048"/>
      <c r="X65" s="1623"/>
      <c r="Y65" s="1623"/>
      <c r="Z65" s="1623"/>
      <c r="AA65" s="1623"/>
      <c r="AB65" s="1623"/>
      <c r="AC65" s="1623"/>
      <c r="AD65" s="1623"/>
      <c r="AE65" s="1623"/>
      <c r="AF65" s="1623"/>
      <c r="AG65" s="1623"/>
    </row>
    <row r="66" spans="1:33" s="2263" customFormat="1" ht="24">
      <c r="A66" s="2276" t="s">
        <v>2662</v>
      </c>
      <c r="B66" s="2293" t="str">
        <f>估价对象房地状况!C22</f>
        <v>七通</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3"/>
      <c r="P66" s="1623"/>
      <c r="Q66" s="3048"/>
      <c r="R66" s="3048"/>
      <c r="S66" s="3048"/>
      <c r="T66" s="3048"/>
      <c r="U66" s="3048"/>
      <c r="V66" s="3048"/>
      <c r="W66" s="3048"/>
      <c r="X66" s="1623"/>
      <c r="Y66" s="1623"/>
      <c r="Z66" s="1623"/>
      <c r="AA66" s="1623"/>
      <c r="AB66" s="1623"/>
      <c r="AC66" s="1623"/>
      <c r="AD66" s="1623"/>
      <c r="AE66" s="1623"/>
      <c r="AF66" s="1623"/>
      <c r="AG66" s="1623"/>
    </row>
    <row r="67" spans="1:33" s="2263" customFormat="1" ht="77.25" thickBot="1">
      <c r="A67" s="2294" t="s">
        <v>2663</v>
      </c>
      <c r="B67" s="2299" t="str">
        <f>估价对象房地状况!C20</f>
        <v>区域自然环境：惠水湾森林公园（2019）、百子湾绿地公园（2019）；人文环境：北京政法职业学院(杨闸校区)；综合评价环境状况较好</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3"/>
      <c r="P67" s="1623"/>
      <c r="Q67" s="3048"/>
      <c r="R67" s="3048"/>
      <c r="S67" s="3048"/>
      <c r="T67" s="3048"/>
      <c r="U67" s="3048"/>
      <c r="V67" s="3048"/>
      <c r="W67" s="3048"/>
      <c r="X67" s="1623"/>
      <c r="Y67" s="1623"/>
      <c r="Z67" s="1623"/>
      <c r="AA67" s="1623"/>
      <c r="AB67" s="1623"/>
      <c r="AC67" s="1623"/>
      <c r="AD67" s="1623"/>
      <c r="AE67" s="1623"/>
      <c r="AF67" s="1623"/>
      <c r="AG67" s="1623"/>
    </row>
    <row r="68" spans="1:33" s="2263" customFormat="1" ht="15">
      <c r="A68" s="2269" t="s">
        <v>2669</v>
      </c>
      <c r="B68" s="2298">
        <f>1+E70</f>
        <v>1</v>
      </c>
      <c r="C68" s="2272"/>
      <c r="D68" s="2272"/>
      <c r="E68" s="2273"/>
      <c r="F68" s="2274"/>
      <c r="G68" s="608"/>
      <c r="H68" s="608"/>
      <c r="I68" s="608"/>
      <c r="J68" s="608"/>
      <c r="K68" s="608"/>
      <c r="L68" s="608"/>
      <c r="M68" s="608"/>
      <c r="N68" s="608"/>
      <c r="O68" s="1623"/>
      <c r="P68" s="1623"/>
      <c r="Q68" s="3048"/>
      <c r="R68" s="3048"/>
      <c r="S68" s="3048"/>
      <c r="T68" s="3048"/>
      <c r="U68" s="3048"/>
      <c r="V68" s="3048"/>
      <c r="W68" s="3048"/>
      <c r="X68" s="1623"/>
      <c r="Y68" s="1623"/>
      <c r="Z68" s="1623"/>
      <c r="AA68" s="1623"/>
      <c r="AB68" s="1623"/>
      <c r="AC68" s="1623"/>
      <c r="AD68" s="1623"/>
      <c r="AE68" s="1623"/>
      <c r="AF68" s="1623"/>
      <c r="AG68" s="1623"/>
    </row>
    <row r="69" spans="1:33" s="2263" customFormat="1" ht="24.75">
      <c r="A69" s="2276" t="s">
        <v>2639</v>
      </c>
      <c r="B69" s="2288"/>
      <c r="C69" s="2277" t="s">
        <v>2641</v>
      </c>
      <c r="D69" s="2277" t="s">
        <v>2642</v>
      </c>
      <c r="E69" s="2278" t="s">
        <v>2643</v>
      </c>
      <c r="F69" s="2228" t="s">
        <v>2644</v>
      </c>
      <c r="G69" s="2277" t="s">
        <v>2665</v>
      </c>
      <c r="H69" s="2279" t="s">
        <v>2666</v>
      </c>
      <c r="I69" s="2277" t="s">
        <v>2667</v>
      </c>
      <c r="J69" s="1904" t="s">
        <v>2307</v>
      </c>
      <c r="K69" s="1904" t="s">
        <v>2308</v>
      </c>
      <c r="L69" s="1904" t="s">
        <v>2309</v>
      </c>
      <c r="M69" s="1904" t="s">
        <v>2310</v>
      </c>
      <c r="N69" s="1904" t="s">
        <v>2311</v>
      </c>
      <c r="O69" s="1623"/>
      <c r="P69" s="1623"/>
      <c r="Q69" s="3048"/>
      <c r="R69" s="3048"/>
      <c r="S69" s="3048"/>
      <c r="T69" s="3048"/>
      <c r="U69" s="3048"/>
      <c r="V69" s="3048"/>
      <c r="W69" s="3048"/>
      <c r="X69" s="1623"/>
      <c r="Y69" s="1623"/>
      <c r="Z69" s="1623"/>
      <c r="AA69" s="1623"/>
      <c r="AB69" s="1623"/>
      <c r="AC69" s="1623"/>
      <c r="AD69" s="1623"/>
      <c r="AE69" s="1623"/>
      <c r="AF69" s="1623"/>
      <c r="AG69" s="1623"/>
    </row>
    <row r="70" spans="1:33" s="2263" customFormat="1" ht="38.25">
      <c r="A70" s="2276" t="s">
        <v>2670</v>
      </c>
      <c r="B70" s="2280" t="str">
        <f>估价对象房地状况!C15</f>
        <v>周边有沿海赛洛城、金都杭城、金海国际等住宅小区，居住社区成熟度较好</v>
      </c>
      <c r="C70" s="2164"/>
      <c r="D70" s="2281">
        <f t="shared" ref="D70:D78" si="20">SUMIF($J$69:$N$69,C70,J70:N70)</f>
        <v>0</v>
      </c>
      <c r="E70" s="2282">
        <f>ROUND(SUM(D70:D78),4)</f>
        <v>0</v>
      </c>
      <c r="F70" s="2283">
        <f>IF(E2="住宅",SUMIF(L1:L12,G2,N1:N12),"——")</f>
        <v>0</v>
      </c>
      <c r="G70" s="2284"/>
      <c r="H70" s="2285">
        <f t="shared" ref="H70:H78" si="21">IFERROR(ROUNDDOWN($F$70*I70/2,4),"——")</f>
        <v>0</v>
      </c>
      <c r="I70" s="2286">
        <v>0.14000000000000001</v>
      </c>
      <c r="J70" s="2287">
        <f t="shared" ref="J70:J78" si="22">K70+$G70</f>
        <v>0</v>
      </c>
      <c r="K70" s="2287">
        <f t="shared" ref="K70:K78" si="23">$L70+$G70</f>
        <v>0</v>
      </c>
      <c r="L70" s="2287">
        <v>0</v>
      </c>
      <c r="M70" s="2287">
        <f t="shared" ref="M70:N78" si="24">L70-$G70</f>
        <v>0</v>
      </c>
      <c r="N70" s="2287">
        <f t="shared" si="24"/>
        <v>0</v>
      </c>
      <c r="O70" s="1623"/>
      <c r="P70" s="1623"/>
      <c r="Q70" s="3048"/>
      <c r="R70" s="3048"/>
      <c r="S70" s="3048"/>
      <c r="T70" s="3048"/>
      <c r="U70" s="3048"/>
      <c r="V70" s="3048"/>
      <c r="W70" s="3048"/>
      <c r="X70" s="1623"/>
      <c r="Y70" s="1623"/>
      <c r="Z70" s="1623"/>
      <c r="AA70" s="1623"/>
      <c r="AB70" s="1623"/>
      <c r="AC70" s="1623"/>
      <c r="AD70" s="1623"/>
      <c r="AE70" s="1623"/>
      <c r="AF70" s="1623"/>
      <c r="AG70" s="1623"/>
    </row>
    <row r="71" spans="1:33" s="2263" customFormat="1" ht="89.25">
      <c r="A71" s="2276" t="s">
        <v>2654</v>
      </c>
      <c r="B71" s="2288" t="str">
        <f>估价对象房地状况!C18</f>
        <v>距地铁1号线四惠站（换乘站）约1000米（2003），距地铁7号线百子湾站约1.5公里（2014），周边有多条公交线路通过，交通便捷度较好</v>
      </c>
      <c r="C71" s="2164"/>
      <c r="D71" s="2281">
        <f t="shared" si="20"/>
        <v>0</v>
      </c>
      <c r="E71" s="2289"/>
      <c r="F71" s="2283"/>
      <c r="G71" s="2284"/>
      <c r="H71" s="2285">
        <f t="shared" si="21"/>
        <v>0</v>
      </c>
      <c r="I71" s="2286">
        <v>0.3</v>
      </c>
      <c r="J71" s="2287">
        <f t="shared" si="22"/>
        <v>0</v>
      </c>
      <c r="K71" s="2287">
        <f t="shared" si="23"/>
        <v>0</v>
      </c>
      <c r="L71" s="2287">
        <v>0</v>
      </c>
      <c r="M71" s="2287">
        <f t="shared" si="24"/>
        <v>0</v>
      </c>
      <c r="N71" s="2287">
        <f t="shared" si="24"/>
        <v>0</v>
      </c>
      <c r="O71" s="1623"/>
      <c r="P71" s="1623"/>
      <c r="Q71" s="3048"/>
      <c r="R71" s="3048"/>
      <c r="S71" s="3048"/>
      <c r="T71" s="3048"/>
      <c r="U71" s="3048"/>
      <c r="V71" s="3048"/>
      <c r="W71" s="3048"/>
      <c r="X71" s="1623"/>
      <c r="Y71" s="1623"/>
      <c r="Z71" s="1623"/>
      <c r="AA71" s="1623"/>
      <c r="AB71" s="1623"/>
      <c r="AC71" s="1623"/>
      <c r="AD71" s="1623"/>
      <c r="AE71" s="1623"/>
      <c r="AF71" s="1623"/>
      <c r="AG71" s="1623"/>
    </row>
    <row r="72" spans="1:33" s="2263" customFormat="1" ht="24">
      <c r="A72" s="2276" t="s">
        <v>2655</v>
      </c>
      <c r="B72" s="2288">
        <f>估价对象房地状况!C19</f>
        <v>0</v>
      </c>
      <c r="C72" s="2164"/>
      <c r="D72" s="2281">
        <f t="shared" si="20"/>
        <v>0</v>
      </c>
      <c r="E72" s="2289"/>
      <c r="F72" s="2283"/>
      <c r="G72" s="2284"/>
      <c r="H72" s="2285">
        <f t="shared" si="21"/>
        <v>0</v>
      </c>
      <c r="I72" s="2286">
        <v>0.08</v>
      </c>
      <c r="J72" s="2287">
        <f t="shared" si="22"/>
        <v>0</v>
      </c>
      <c r="K72" s="2287">
        <f t="shared" si="23"/>
        <v>0</v>
      </c>
      <c r="L72" s="2287">
        <v>0</v>
      </c>
      <c r="M72" s="2287">
        <f t="shared" si="24"/>
        <v>0</v>
      </c>
      <c r="N72" s="2287">
        <f t="shared" si="24"/>
        <v>0</v>
      </c>
      <c r="O72" s="1623"/>
      <c r="P72" s="1623"/>
      <c r="Q72" s="3048"/>
      <c r="R72" s="3048"/>
      <c r="S72" s="3048"/>
      <c r="T72" s="3048"/>
      <c r="U72" s="3048"/>
      <c r="V72" s="3048"/>
      <c r="W72" s="3048"/>
      <c r="X72" s="1623"/>
      <c r="Y72" s="1623"/>
      <c r="Z72" s="1623"/>
      <c r="AA72" s="1623"/>
      <c r="AB72" s="1623"/>
      <c r="AC72" s="1623"/>
      <c r="AD72" s="1623"/>
      <c r="AE72" s="1623"/>
      <c r="AF72" s="1623"/>
      <c r="AG72" s="1623"/>
    </row>
    <row r="73" spans="1:33" s="2263" customFormat="1" ht="14.25">
      <c r="A73" s="2276" t="s">
        <v>2671</v>
      </c>
      <c r="B73" s="2288" t="str">
        <f>估价对象房地状况!C24</f>
        <v>城市次干道-百子湾路</v>
      </c>
      <c r="C73" s="2164"/>
      <c r="D73" s="2281">
        <f t="shared" si="20"/>
        <v>0</v>
      </c>
      <c r="E73" s="2289"/>
      <c r="F73" s="2283"/>
      <c r="G73" s="2284"/>
      <c r="H73" s="2285">
        <f t="shared" si="21"/>
        <v>0</v>
      </c>
      <c r="I73" s="2286">
        <v>0.04</v>
      </c>
      <c r="J73" s="2287">
        <f t="shared" si="22"/>
        <v>0</v>
      </c>
      <c r="K73" s="2287">
        <f t="shared" si="23"/>
        <v>0</v>
      </c>
      <c r="L73" s="2287">
        <v>0</v>
      </c>
      <c r="M73" s="2287">
        <f t="shared" si="24"/>
        <v>0</v>
      </c>
      <c r="N73" s="2287">
        <f t="shared" si="24"/>
        <v>0</v>
      </c>
      <c r="O73" s="1623"/>
      <c r="P73" s="1623"/>
      <c r="Q73" s="3048"/>
      <c r="R73" s="3048"/>
      <c r="S73" s="3048"/>
      <c r="T73" s="3048"/>
      <c r="U73" s="3048"/>
      <c r="V73" s="3048"/>
      <c r="W73" s="3048"/>
      <c r="X73" s="1623"/>
      <c r="Y73" s="1623"/>
      <c r="Z73" s="1623"/>
      <c r="AA73" s="1623"/>
      <c r="AB73" s="1623"/>
      <c r="AC73" s="1623"/>
      <c r="AD73" s="1623"/>
      <c r="AE73" s="1623"/>
      <c r="AF73" s="1623"/>
      <c r="AG73" s="1623"/>
    </row>
    <row r="74" spans="1:33" s="2263" customFormat="1" ht="114.75">
      <c r="A74" s="2276" t="s">
        <v>2661</v>
      </c>
      <c r="B74" s="2293" t="str">
        <f>估价对象房地状况!C21</f>
        <v>华堂商场（十里堡店）、北京四惠中医医院（2016）、北京市朝阳区日坛小学（1962）、垂杨柳第四小学（1971）、北京市第十七中学（百子湾校区）（1946）、北京市日坛中学（四惠校区）（2015）</v>
      </c>
      <c r="C74" s="2164"/>
      <c r="D74" s="2281">
        <f t="shared" si="20"/>
        <v>0</v>
      </c>
      <c r="E74" s="2289"/>
      <c r="F74" s="2283"/>
      <c r="G74" s="2284"/>
      <c r="H74" s="2285">
        <f t="shared" si="21"/>
        <v>0</v>
      </c>
      <c r="I74" s="2286">
        <v>0.08</v>
      </c>
      <c r="J74" s="2287">
        <f t="shared" si="22"/>
        <v>0</v>
      </c>
      <c r="K74" s="2287">
        <f t="shared" si="23"/>
        <v>0</v>
      </c>
      <c r="L74" s="2287">
        <v>0</v>
      </c>
      <c r="M74" s="2287">
        <f t="shared" si="24"/>
        <v>0</v>
      </c>
      <c r="N74" s="2287">
        <f t="shared" si="24"/>
        <v>0</v>
      </c>
      <c r="O74" s="1623"/>
      <c r="P74" s="1623"/>
      <c r="Q74" s="3048"/>
      <c r="R74" s="3048"/>
      <c r="S74" s="3048"/>
      <c r="T74" s="3048"/>
      <c r="U74" s="3048"/>
      <c r="V74" s="3048"/>
      <c r="W74" s="3048"/>
      <c r="X74" s="1623"/>
      <c r="Y74" s="1623"/>
      <c r="Z74" s="1623"/>
      <c r="AA74" s="1623"/>
      <c r="AB74" s="1623"/>
      <c r="AC74" s="1623"/>
      <c r="AD74" s="1623"/>
      <c r="AE74" s="1623"/>
      <c r="AF74" s="1623"/>
      <c r="AG74" s="1623"/>
    </row>
    <row r="75" spans="1:33" s="2263" customFormat="1" ht="24">
      <c r="A75" s="2276" t="s">
        <v>2662</v>
      </c>
      <c r="B75" s="2293" t="str">
        <f>估价对象房地状况!C22</f>
        <v>七通</v>
      </c>
      <c r="C75" s="2164"/>
      <c r="D75" s="2281">
        <f t="shared" si="20"/>
        <v>0</v>
      </c>
      <c r="E75" s="2289"/>
      <c r="F75" s="2283"/>
      <c r="G75" s="2284"/>
      <c r="H75" s="2285">
        <f t="shared" si="21"/>
        <v>0</v>
      </c>
      <c r="I75" s="2286">
        <v>0.12</v>
      </c>
      <c r="J75" s="2287">
        <f t="shared" si="22"/>
        <v>0</v>
      </c>
      <c r="K75" s="2287">
        <f t="shared" si="23"/>
        <v>0</v>
      </c>
      <c r="L75" s="2287">
        <v>0</v>
      </c>
      <c r="M75" s="2287">
        <f t="shared" si="24"/>
        <v>0</v>
      </c>
      <c r="N75" s="2287">
        <f t="shared" si="24"/>
        <v>0</v>
      </c>
      <c r="O75" s="1623"/>
      <c r="P75" s="1623"/>
      <c r="Q75" s="3048"/>
      <c r="R75" s="3048"/>
      <c r="S75" s="3048"/>
      <c r="T75" s="3048"/>
      <c r="U75" s="3048"/>
      <c r="V75" s="3048"/>
      <c r="W75" s="3048"/>
      <c r="X75" s="1623"/>
      <c r="Y75" s="1623"/>
      <c r="Z75" s="1623"/>
      <c r="AA75" s="1623"/>
      <c r="AB75" s="1623"/>
      <c r="AC75" s="1623"/>
      <c r="AD75" s="1623"/>
      <c r="AE75" s="1623"/>
      <c r="AF75" s="1623"/>
      <c r="AG75" s="1623"/>
    </row>
    <row r="76" spans="1:33" ht="24">
      <c r="A76" s="2276" t="s">
        <v>2659</v>
      </c>
      <c r="B76" s="2291" t="s">
        <v>2660</v>
      </c>
      <c r="C76" s="2164"/>
      <c r="D76" s="2281">
        <f t="shared" si="20"/>
        <v>0</v>
      </c>
      <c r="E76" s="2289"/>
      <c r="F76" s="2283"/>
      <c r="G76" s="2284"/>
      <c r="H76" s="2285">
        <f t="shared" si="21"/>
        <v>0</v>
      </c>
      <c r="I76" s="2286">
        <v>0.05</v>
      </c>
      <c r="J76" s="2287">
        <f t="shared" si="22"/>
        <v>0</v>
      </c>
      <c r="K76" s="2287">
        <f t="shared" si="23"/>
        <v>0</v>
      </c>
      <c r="L76" s="2287">
        <v>0</v>
      </c>
      <c r="M76" s="2287">
        <f t="shared" si="24"/>
        <v>0</v>
      </c>
      <c r="N76" s="2287">
        <f t="shared" si="24"/>
        <v>0</v>
      </c>
      <c r="Q76" s="3056"/>
      <c r="R76" s="3056"/>
      <c r="S76" s="3056"/>
      <c r="T76" s="3056"/>
      <c r="U76" s="3056"/>
      <c r="V76" s="3056"/>
      <c r="W76" s="3056"/>
      <c r="AA76" s="1624"/>
      <c r="AG76" s="2263"/>
    </row>
    <row r="77" spans="1:33" ht="76.5">
      <c r="A77" s="2276" t="s">
        <v>2663</v>
      </c>
      <c r="B77" s="2280" t="str">
        <f>估价对象房地状况!C20</f>
        <v>区域自然环境：惠水湾森林公园（2019）、百子湾绿地公园（2019）；人文环境：北京政法职业学院(杨闸校区)；综合评价环境状况较好</v>
      </c>
      <c r="C77" s="2164"/>
      <c r="D77" s="2281">
        <f t="shared" si="20"/>
        <v>0</v>
      </c>
      <c r="E77" s="2289"/>
      <c r="F77" s="2283"/>
      <c r="G77" s="2284"/>
      <c r="H77" s="2285">
        <f t="shared" si="21"/>
        <v>0</v>
      </c>
      <c r="I77" s="2286">
        <v>0.15</v>
      </c>
      <c r="J77" s="2287">
        <f t="shared" si="22"/>
        <v>0</v>
      </c>
      <c r="K77" s="2287">
        <f t="shared" si="23"/>
        <v>0</v>
      </c>
      <c r="L77" s="2287">
        <v>0</v>
      </c>
      <c r="M77" s="2287">
        <f t="shared" si="24"/>
        <v>0</v>
      </c>
      <c r="N77" s="2287">
        <f t="shared" si="24"/>
        <v>0</v>
      </c>
      <c r="Q77" s="3056"/>
      <c r="R77" s="3056"/>
      <c r="S77" s="3056"/>
      <c r="T77" s="3056"/>
      <c r="U77" s="3056"/>
      <c r="V77" s="3056"/>
      <c r="W77" s="3056"/>
      <c r="AA77" s="1624"/>
      <c r="AG77" s="2263"/>
    </row>
    <row r="78" spans="1:33" ht="24.75" thickBot="1">
      <c r="A78" s="2294" t="s">
        <v>2672</v>
      </c>
      <c r="B78" s="2300"/>
      <c r="C78" s="2164"/>
      <c r="D78" s="2281">
        <f t="shared" si="20"/>
        <v>0</v>
      </c>
      <c r="E78" s="2296"/>
      <c r="F78" s="2283"/>
      <c r="G78" s="2284"/>
      <c r="H78" s="2285">
        <f t="shared" si="21"/>
        <v>0</v>
      </c>
      <c r="I78" s="2297">
        <v>0.04</v>
      </c>
      <c r="J78" s="2287">
        <f t="shared" si="22"/>
        <v>0</v>
      </c>
      <c r="K78" s="2287">
        <f t="shared" si="23"/>
        <v>0</v>
      </c>
      <c r="L78" s="2287">
        <v>0</v>
      </c>
      <c r="M78" s="2287">
        <f t="shared" si="24"/>
        <v>0</v>
      </c>
      <c r="N78" s="2287">
        <f t="shared" si="24"/>
        <v>0</v>
      </c>
      <c r="Q78" s="3056"/>
      <c r="R78" s="3056"/>
      <c r="S78" s="3056"/>
      <c r="T78" s="3056"/>
      <c r="U78" s="3056"/>
      <c r="V78" s="3056"/>
      <c r="W78" s="3056"/>
      <c r="AA78" s="1624"/>
      <c r="AG78" s="2263"/>
    </row>
    <row r="79" spans="1:33" ht="15">
      <c r="A79" s="2269" t="s">
        <v>2673</v>
      </c>
      <c r="B79" s="2298">
        <f>1+E81</f>
        <v>1</v>
      </c>
      <c r="C79" s="2272"/>
      <c r="D79" s="2272"/>
      <c r="E79" s="2273"/>
      <c r="F79" s="2274"/>
      <c r="G79" s="608"/>
      <c r="H79" s="608"/>
      <c r="I79" s="608"/>
      <c r="J79" s="608"/>
      <c r="K79" s="608"/>
      <c r="L79" s="608"/>
      <c r="M79" s="608"/>
      <c r="N79" s="608"/>
      <c r="Q79" s="3056"/>
      <c r="R79" s="3056"/>
      <c r="S79" s="3056"/>
      <c r="T79" s="3056"/>
      <c r="U79" s="3056"/>
      <c r="V79" s="3056"/>
      <c r="W79" s="3056"/>
      <c r="AA79" s="1624"/>
      <c r="AG79" s="2263"/>
    </row>
    <row r="80" spans="1:33" ht="24.75">
      <c r="A80" s="2276" t="s">
        <v>2639</v>
      </c>
      <c r="B80" s="2288"/>
      <c r="C80" s="2277" t="s">
        <v>2641</v>
      </c>
      <c r="D80" s="2277" t="s">
        <v>2642</v>
      </c>
      <c r="E80" s="2278" t="s">
        <v>2643</v>
      </c>
      <c r="F80" s="2228" t="s">
        <v>2644</v>
      </c>
      <c r="G80" s="2277" t="s">
        <v>2665</v>
      </c>
      <c r="H80" s="2279" t="s">
        <v>2666</v>
      </c>
      <c r="I80" s="2277" t="s">
        <v>2667</v>
      </c>
      <c r="J80" s="1904" t="s">
        <v>2307</v>
      </c>
      <c r="K80" s="1904" t="s">
        <v>2308</v>
      </c>
      <c r="L80" s="1904" t="s">
        <v>2309</v>
      </c>
      <c r="M80" s="1904" t="s">
        <v>2310</v>
      </c>
      <c r="N80" s="1904" t="s">
        <v>2311</v>
      </c>
      <c r="Q80" s="3056"/>
      <c r="R80" s="3056"/>
      <c r="S80" s="3056"/>
      <c r="T80" s="3056"/>
      <c r="U80" s="3056"/>
      <c r="V80" s="3056"/>
      <c r="W80" s="3056"/>
      <c r="AA80" s="1624"/>
      <c r="AG80" s="2263"/>
    </row>
    <row r="81" spans="1:33" ht="38.25">
      <c r="A81" s="2276" t="s">
        <v>2674</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6"/>
      <c r="R81" s="3056"/>
      <c r="S81" s="3056"/>
      <c r="T81" s="3056"/>
      <c r="U81" s="3056"/>
      <c r="V81" s="3056"/>
      <c r="W81" s="3056"/>
      <c r="AA81" s="1624"/>
      <c r="AG81" s="2263"/>
    </row>
    <row r="82" spans="1:33" ht="51">
      <c r="A82" s="2276" t="s">
        <v>2654</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6"/>
      <c r="R82" s="3056"/>
      <c r="S82" s="3056"/>
      <c r="T82" s="3056"/>
      <c r="U82" s="3056"/>
      <c r="V82" s="3056"/>
      <c r="W82" s="3056"/>
      <c r="AA82" s="1624"/>
      <c r="AG82" s="2263"/>
    </row>
    <row r="83" spans="1:33" ht="24">
      <c r="A83" s="2276" t="s">
        <v>2655</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6"/>
      <c r="R83" s="3056"/>
      <c r="S83" s="3056"/>
      <c r="T83" s="3056"/>
      <c r="U83" s="3056"/>
      <c r="V83" s="3056"/>
      <c r="W83" s="3056"/>
      <c r="AA83" s="1624"/>
      <c r="AG83" s="2263"/>
    </row>
    <row r="84" spans="1:33" ht="14.25">
      <c r="A84" s="2276" t="s">
        <v>2671</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6"/>
      <c r="R84" s="3056"/>
      <c r="S84" s="3056"/>
      <c r="T84" s="3056"/>
      <c r="U84" s="3056"/>
      <c r="V84" s="3056"/>
      <c r="W84" s="3056"/>
      <c r="AA84" s="1624"/>
      <c r="AG84" s="2263"/>
    </row>
    <row r="85" spans="1:33" ht="25.5">
      <c r="A85" s="2276" t="s">
        <v>2661</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6"/>
      <c r="R85" s="3056"/>
      <c r="S85" s="3056"/>
      <c r="T85" s="3056"/>
      <c r="U85" s="3056"/>
      <c r="V85" s="3056"/>
      <c r="W85" s="3056"/>
      <c r="AA85" s="1624"/>
      <c r="AG85" s="2263"/>
    </row>
    <row r="86" spans="1:33" ht="25.5">
      <c r="A86" s="2276" t="s">
        <v>2662</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6"/>
      <c r="R86" s="3056"/>
      <c r="S86" s="3056"/>
      <c r="T86" s="3056"/>
      <c r="U86" s="3056"/>
      <c r="V86" s="3056"/>
      <c r="W86" s="3056"/>
      <c r="AA86" s="1624"/>
      <c r="AG86" s="2263"/>
    </row>
    <row r="87" spans="1:33" ht="24">
      <c r="A87" s="2276" t="s">
        <v>2659</v>
      </c>
      <c r="B87" s="2291" t="s">
        <v>2660</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6"/>
      <c r="R87" s="3056"/>
      <c r="S87" s="3056"/>
      <c r="T87" s="3056"/>
      <c r="U87" s="3056"/>
      <c r="V87" s="3056"/>
      <c r="W87" s="3056"/>
      <c r="AA87" s="1624"/>
      <c r="AG87" s="2263"/>
    </row>
    <row r="88" spans="1:33" ht="39" thickBot="1">
      <c r="A88" s="2294" t="s">
        <v>2675</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6"/>
      <c r="R88" s="3056"/>
      <c r="S88" s="3056"/>
      <c r="T88" s="3056"/>
      <c r="U88" s="3056"/>
      <c r="V88" s="3056"/>
      <c r="W88" s="3056"/>
      <c r="AA88" s="1624"/>
      <c r="AG88" s="2263"/>
    </row>
    <row r="89" spans="1:33">
      <c r="Q89" s="3056"/>
      <c r="R89" s="3056"/>
      <c r="S89" s="3056"/>
      <c r="T89" s="3056"/>
      <c r="U89" s="3056"/>
      <c r="V89" s="3056"/>
      <c r="W89" s="3056"/>
    </row>
    <row r="90" spans="1:33">
      <c r="A90" s="3802" t="s">
        <v>2676</v>
      </c>
      <c r="B90" s="3802"/>
      <c r="C90" s="3802"/>
      <c r="D90" s="3802"/>
      <c r="E90" s="3802"/>
      <c r="F90" s="3802"/>
      <c r="G90" s="3802"/>
      <c r="H90" s="3802"/>
      <c r="I90" s="3802"/>
      <c r="J90" s="3802"/>
      <c r="K90" s="2304"/>
      <c r="L90" s="2304"/>
      <c r="M90" s="2304"/>
      <c r="N90" s="2304"/>
      <c r="Q90" s="3056"/>
      <c r="R90" s="3056"/>
      <c r="S90" s="3056"/>
      <c r="T90" s="3056"/>
      <c r="U90" s="3056"/>
      <c r="V90" s="3056"/>
      <c r="W90" s="3056"/>
    </row>
    <row r="91" spans="1:33">
      <c r="A91" s="3804" t="s">
        <v>2677</v>
      </c>
      <c r="B91" s="3804" t="s">
        <v>2678</v>
      </c>
      <c r="C91" s="2243" t="s">
        <v>2679</v>
      </c>
      <c r="D91" s="2244"/>
      <c r="E91" s="2244"/>
      <c r="F91" s="2244"/>
      <c r="G91" s="2244"/>
      <c r="H91" s="2244"/>
      <c r="I91" s="2244"/>
      <c r="J91" s="2306"/>
      <c r="K91" s="2066"/>
      <c r="L91" s="2066"/>
      <c r="M91" s="2066"/>
      <c r="N91" s="2066"/>
      <c r="Q91" s="3056"/>
      <c r="R91" s="3056"/>
      <c r="S91" s="3056"/>
      <c r="T91" s="3056"/>
      <c r="U91" s="3056"/>
      <c r="V91" s="3056"/>
      <c r="W91" s="3056"/>
    </row>
    <row r="92" spans="1:33">
      <c r="A92" s="3804"/>
      <c r="B92" s="3804"/>
      <c r="C92" s="2029" t="s">
        <v>2532</v>
      </c>
      <c r="D92" s="2029" t="s">
        <v>2533</v>
      </c>
      <c r="E92" s="2029" t="s">
        <v>2534</v>
      </c>
      <c r="F92" s="2029" t="s">
        <v>2535</v>
      </c>
      <c r="G92" s="2029" t="s">
        <v>2536</v>
      </c>
      <c r="H92" s="2029" t="s">
        <v>2537</v>
      </c>
      <c r="I92" s="2029" t="s">
        <v>2538</v>
      </c>
      <c r="J92" s="2029" t="s">
        <v>2539</v>
      </c>
      <c r="K92" s="2029" t="s">
        <v>2540</v>
      </c>
      <c r="L92" s="2029" t="s">
        <v>2541</v>
      </c>
      <c r="M92" s="2029" t="s">
        <v>2542</v>
      </c>
      <c r="N92" s="2029" t="s">
        <v>2543</v>
      </c>
      <c r="Q92" s="3056"/>
      <c r="R92" s="3056"/>
      <c r="S92" s="3056"/>
      <c r="T92" s="3056"/>
      <c r="U92" s="3056"/>
      <c r="V92" s="3056"/>
      <c r="W92" s="3056"/>
    </row>
    <row r="93" spans="1:33">
      <c r="A93" s="3805" t="s">
        <v>2680</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6"/>
      <c r="R93" s="3056"/>
      <c r="S93" s="3056"/>
      <c r="T93" s="3056"/>
      <c r="U93" s="3056"/>
      <c r="V93" s="3056"/>
      <c r="W93" s="3056"/>
    </row>
    <row r="94" spans="1:33">
      <c r="A94" s="3806"/>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6"/>
      <c r="R94" s="3056"/>
      <c r="S94" s="3056"/>
      <c r="T94" s="3056"/>
      <c r="U94" s="3056"/>
      <c r="V94" s="3056"/>
      <c r="W94" s="3056"/>
    </row>
    <row r="95" spans="1:33">
      <c r="A95" s="3806"/>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6"/>
      <c r="R95" s="3056"/>
      <c r="S95" s="3056"/>
      <c r="T95" s="3056"/>
      <c r="U95" s="3056"/>
      <c r="V95" s="3056"/>
      <c r="W95" s="3056"/>
    </row>
    <row r="96" spans="1:33">
      <c r="A96" s="3806"/>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6"/>
      <c r="R96" s="3056"/>
      <c r="S96" s="3056"/>
      <c r="T96" s="3056"/>
      <c r="U96" s="3056"/>
      <c r="V96" s="3056"/>
      <c r="W96" s="3056"/>
    </row>
    <row r="97" spans="1:23">
      <c r="A97" s="3806"/>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6"/>
      <c r="R97" s="3056"/>
      <c r="S97" s="3056"/>
      <c r="T97" s="3056"/>
      <c r="U97" s="3056"/>
      <c r="V97" s="3056"/>
      <c r="W97" s="3056"/>
    </row>
    <row r="98" spans="1:23">
      <c r="A98" s="3806"/>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6"/>
      <c r="R98" s="3056"/>
      <c r="S98" s="3056"/>
      <c r="T98" s="3056"/>
      <c r="U98" s="3056"/>
      <c r="V98" s="3056"/>
      <c r="W98" s="3056"/>
    </row>
    <row r="99" spans="1:23">
      <c r="A99" s="3806"/>
      <c r="B99" s="2307" t="s">
        <v>2548</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6"/>
      <c r="R99" s="3056"/>
      <c r="S99" s="3056"/>
      <c r="T99" s="3056"/>
      <c r="U99" s="3056"/>
      <c r="V99" s="3056"/>
      <c r="W99" s="3056"/>
    </row>
    <row r="100" spans="1:23">
      <c r="A100" s="3807"/>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6"/>
      <c r="R100" s="3056"/>
      <c r="S100" s="3056"/>
      <c r="T100" s="3056"/>
      <c r="U100" s="3056"/>
      <c r="V100" s="3056"/>
      <c r="W100" s="3056"/>
    </row>
    <row r="101" spans="1:23">
      <c r="A101" s="3805" t="s">
        <v>2681</v>
      </c>
      <c r="B101" s="2311" t="s">
        <v>2682</v>
      </c>
      <c r="C101" s="2312">
        <f>$G$3</f>
        <v>2</v>
      </c>
      <c r="D101" s="2312">
        <f t="shared" ref="D101:N101" si="31">$G$3</f>
        <v>2</v>
      </c>
      <c r="E101" s="2312">
        <f t="shared" si="31"/>
        <v>2</v>
      </c>
      <c r="F101" s="2312">
        <f t="shared" si="31"/>
        <v>2</v>
      </c>
      <c r="G101" s="2312">
        <f t="shared" si="31"/>
        <v>2</v>
      </c>
      <c r="H101" s="2312">
        <f t="shared" si="31"/>
        <v>2</v>
      </c>
      <c r="I101" s="2312">
        <f t="shared" si="31"/>
        <v>2</v>
      </c>
      <c r="J101" s="2312">
        <f t="shared" si="31"/>
        <v>2</v>
      </c>
      <c r="K101" s="2312">
        <f t="shared" si="31"/>
        <v>2</v>
      </c>
      <c r="L101" s="2312">
        <f t="shared" si="31"/>
        <v>2</v>
      </c>
      <c r="M101" s="2312">
        <f t="shared" si="31"/>
        <v>2</v>
      </c>
      <c r="N101" s="2312">
        <f t="shared" si="31"/>
        <v>2</v>
      </c>
      <c r="Q101" s="3056"/>
      <c r="R101" s="3056"/>
      <c r="S101" s="3056"/>
      <c r="T101" s="3056"/>
      <c r="U101" s="3056"/>
      <c r="V101" s="3056"/>
      <c r="W101" s="3056"/>
    </row>
    <row r="102" spans="1:23">
      <c r="A102" s="3806"/>
      <c r="B102" s="2307">
        <v>1</v>
      </c>
      <c r="C102" s="2308">
        <f>1.9362/C101</f>
        <v>0.96809999999999996</v>
      </c>
      <c r="D102" s="2308">
        <f>1.9362/D101</f>
        <v>0.96809999999999996</v>
      </c>
      <c r="E102" s="2308">
        <f>1.8629/E101</f>
        <v>0.93145</v>
      </c>
      <c r="F102" s="2308">
        <f>1.8629/F101</f>
        <v>0.93145</v>
      </c>
      <c r="G102" s="2308">
        <f>1.8629/G101</f>
        <v>0.93145</v>
      </c>
      <c r="H102" s="2308">
        <f>1.8629/H101</f>
        <v>0.93145</v>
      </c>
      <c r="I102" s="2308">
        <f>1.8629/I101</f>
        <v>0.93145</v>
      </c>
      <c r="J102" s="2308">
        <f>1.942/J101</f>
        <v>0.97099999999999997</v>
      </c>
      <c r="K102" s="2308">
        <f>1.942/K101</f>
        <v>0.97099999999999997</v>
      </c>
      <c r="L102" s="2308">
        <f>1.942/L101</f>
        <v>0.97099999999999997</v>
      </c>
      <c r="M102" s="2308">
        <f>1.942/M101</f>
        <v>0.97099999999999997</v>
      </c>
      <c r="N102" s="2308">
        <f>1.942/N101</f>
        <v>0.97099999999999997</v>
      </c>
      <c r="Q102" s="3056"/>
      <c r="R102" s="3056"/>
      <c r="S102" s="3056"/>
      <c r="T102" s="3056"/>
      <c r="U102" s="3056"/>
      <c r="V102" s="3056"/>
      <c r="W102" s="3056"/>
    </row>
    <row r="103" spans="1:23">
      <c r="A103" s="3806"/>
      <c r="B103" s="2307">
        <v>2</v>
      </c>
      <c r="C103" s="2308">
        <f>1.4198/C101</f>
        <v>0.70989999999999998</v>
      </c>
      <c r="D103" s="2308">
        <f>1.4198/D101</f>
        <v>0.70989999999999998</v>
      </c>
      <c r="E103" s="2308">
        <f>1.3372/E101</f>
        <v>0.66859999999999997</v>
      </c>
      <c r="F103" s="2308">
        <f>1.3372/F101</f>
        <v>0.66859999999999997</v>
      </c>
      <c r="G103" s="2308">
        <f>1.3372/G101</f>
        <v>0.66859999999999997</v>
      </c>
      <c r="H103" s="2308">
        <f>1.3372/H101</f>
        <v>0.66859999999999997</v>
      </c>
      <c r="I103" s="2308">
        <f>1.3372/I101</f>
        <v>0.66859999999999997</v>
      </c>
      <c r="J103" s="2308">
        <f>1.2799/J101</f>
        <v>0.63995000000000002</v>
      </c>
      <c r="K103" s="2308">
        <f>1.2799/K101</f>
        <v>0.63995000000000002</v>
      </c>
      <c r="L103" s="2308">
        <f>1.2799/L101</f>
        <v>0.63995000000000002</v>
      </c>
      <c r="M103" s="2308">
        <f>1.2799/M101</f>
        <v>0.63995000000000002</v>
      </c>
      <c r="N103" s="2308">
        <f>1.2799/N101</f>
        <v>0.63995000000000002</v>
      </c>
      <c r="Q103" s="3056"/>
      <c r="R103" s="3056"/>
      <c r="S103" s="3056"/>
      <c r="T103" s="3056"/>
      <c r="U103" s="3056"/>
      <c r="V103" s="3056"/>
      <c r="W103" s="3056"/>
    </row>
    <row r="104" spans="1:23">
      <c r="A104" s="3806"/>
      <c r="B104" s="2307">
        <v>3</v>
      </c>
      <c r="C104" s="2308">
        <f>1.1594/C101</f>
        <v>0.57969999999999999</v>
      </c>
      <c r="D104" s="2308">
        <f>1.1594/D101</f>
        <v>0.57969999999999999</v>
      </c>
      <c r="E104" s="2308">
        <f>1.0788/E101</f>
        <v>0.53939999999999999</v>
      </c>
      <c r="F104" s="2308">
        <f>1.0788/F101</f>
        <v>0.53939999999999999</v>
      </c>
      <c r="G104" s="2308">
        <f>1.0788/G101</f>
        <v>0.53939999999999999</v>
      </c>
      <c r="H104" s="2308">
        <f>1.0788/H101</f>
        <v>0.53939999999999999</v>
      </c>
      <c r="I104" s="2308">
        <f>1.0788/I101</f>
        <v>0.53939999999999999</v>
      </c>
      <c r="J104" s="2308">
        <f>1.0072/J101</f>
        <v>0.50360000000000005</v>
      </c>
      <c r="K104" s="2308">
        <f>1.0072/K101</f>
        <v>0.50360000000000005</v>
      </c>
      <c r="L104" s="2308">
        <f>1.0072/L101</f>
        <v>0.50360000000000005</v>
      </c>
      <c r="M104" s="2308">
        <f>1.0072/M101</f>
        <v>0.50360000000000005</v>
      </c>
      <c r="N104" s="2308">
        <f>1.0072/N101</f>
        <v>0.50360000000000005</v>
      </c>
      <c r="Q104" s="3056"/>
      <c r="R104" s="3056"/>
      <c r="S104" s="3056"/>
      <c r="T104" s="3056"/>
      <c r="U104" s="3056"/>
      <c r="V104" s="3056"/>
      <c r="W104" s="3056"/>
    </row>
    <row r="105" spans="1:23">
      <c r="A105" s="3806"/>
      <c r="B105" s="2307">
        <v>4</v>
      </c>
      <c r="C105" s="2308">
        <f>0.9622/C101</f>
        <v>0.48110000000000003</v>
      </c>
      <c r="D105" s="2308">
        <f>0.9622/D101</f>
        <v>0.48110000000000003</v>
      </c>
      <c r="E105" s="2308">
        <f>0.8656/E101</f>
        <v>0.43280000000000002</v>
      </c>
      <c r="F105" s="2308">
        <f>0.8656/F101</f>
        <v>0.43280000000000002</v>
      </c>
      <c r="G105" s="2308">
        <f>0.8656/G101</f>
        <v>0.43280000000000002</v>
      </c>
      <c r="H105" s="2308">
        <f>0.8656/H101</f>
        <v>0.43280000000000002</v>
      </c>
      <c r="I105" s="2308">
        <f>0.8656/I101</f>
        <v>0.43280000000000002</v>
      </c>
      <c r="J105" s="2308">
        <f>0.7525/J101</f>
        <v>0.37624999999999997</v>
      </c>
      <c r="K105" s="2308">
        <f>0.7525/K101</f>
        <v>0.37624999999999997</v>
      </c>
      <c r="L105" s="2308">
        <f>0.7525/L101</f>
        <v>0.37624999999999997</v>
      </c>
      <c r="M105" s="2308">
        <f>0.7525/M101</f>
        <v>0.37624999999999997</v>
      </c>
      <c r="N105" s="2308">
        <f>0.7525/N101</f>
        <v>0.37624999999999997</v>
      </c>
      <c r="Q105" s="3056"/>
      <c r="R105" s="3056"/>
      <c r="S105" s="3056"/>
      <c r="T105" s="3056"/>
      <c r="U105" s="3056"/>
      <c r="V105" s="3056"/>
      <c r="W105" s="3056"/>
    </row>
    <row r="106" spans="1:23">
      <c r="A106" s="3806"/>
      <c r="B106" s="2307">
        <v>5</v>
      </c>
      <c r="C106" s="2308">
        <f>0.8417/C101</f>
        <v>0.42085</v>
      </c>
      <c r="D106" s="2308">
        <f>0.8417/D101</f>
        <v>0.42085</v>
      </c>
      <c r="E106" s="2308">
        <f>0.7371/E101</f>
        <v>0.36854999999999999</v>
      </c>
      <c r="F106" s="2308">
        <f>0.7371/F101</f>
        <v>0.36854999999999999</v>
      </c>
      <c r="G106" s="2308">
        <f>0.7371/G101</f>
        <v>0.36854999999999999</v>
      </c>
      <c r="H106" s="2308">
        <f>0.7371/H101</f>
        <v>0.36854999999999999</v>
      </c>
      <c r="I106" s="2308">
        <f>0.7371/I101</f>
        <v>0.36854999999999999</v>
      </c>
      <c r="J106" s="2308">
        <f>0.5659/J101</f>
        <v>0.28294999999999998</v>
      </c>
      <c r="K106" s="2308">
        <f>0.5659/K101</f>
        <v>0.28294999999999998</v>
      </c>
      <c r="L106" s="2308">
        <f>0.5659/L101</f>
        <v>0.28294999999999998</v>
      </c>
      <c r="M106" s="2308">
        <f>0.5659/M101</f>
        <v>0.28294999999999998</v>
      </c>
      <c r="N106" s="2308">
        <f>0.5659/N101</f>
        <v>0.28294999999999998</v>
      </c>
      <c r="Q106" s="3056"/>
      <c r="R106" s="3056"/>
      <c r="S106" s="3056"/>
      <c r="T106" s="3056"/>
      <c r="U106" s="3056"/>
      <c r="V106" s="3056"/>
      <c r="W106" s="3056"/>
    </row>
    <row r="107" spans="1:23">
      <c r="A107" s="3806"/>
      <c r="B107" s="2307">
        <v>6</v>
      </c>
      <c r="C107" s="2308">
        <f>0.7608/C101</f>
        <v>0.38040000000000002</v>
      </c>
      <c r="D107" s="2308">
        <f>0.7608/D101</f>
        <v>0.38040000000000002</v>
      </c>
      <c r="E107" s="2308">
        <f>0.6482/E101</f>
        <v>0.3241</v>
      </c>
      <c r="F107" s="2308">
        <f>0.6482/F101</f>
        <v>0.3241</v>
      </c>
      <c r="G107" s="2308">
        <f>0.6482/G101</f>
        <v>0.3241</v>
      </c>
      <c r="H107" s="2308">
        <f>0.6482/H101</f>
        <v>0.3241</v>
      </c>
      <c r="I107" s="2308">
        <f>0.6482/I101</f>
        <v>0.3241</v>
      </c>
      <c r="J107" s="2308">
        <f>0.4525/J101</f>
        <v>0.22625000000000001</v>
      </c>
      <c r="K107" s="2308">
        <f>0.4525/K101</f>
        <v>0.22625000000000001</v>
      </c>
      <c r="L107" s="2308">
        <f>0.4525/L101</f>
        <v>0.22625000000000001</v>
      </c>
      <c r="M107" s="2308">
        <f>0.4525/M101</f>
        <v>0.22625000000000001</v>
      </c>
      <c r="N107" s="2308">
        <f>0.4525/N101</f>
        <v>0.22625000000000001</v>
      </c>
      <c r="Q107" s="3056"/>
      <c r="R107" s="3056"/>
      <c r="S107" s="3056"/>
      <c r="T107" s="3056"/>
      <c r="U107" s="3056"/>
      <c r="V107" s="3056"/>
      <c r="W107" s="3056"/>
    </row>
    <row r="108" spans="1:23">
      <c r="A108" s="3806"/>
      <c r="B108" s="3808" t="s">
        <v>2683</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6"/>
      <c r="R108" s="3056"/>
      <c r="S108" s="3056"/>
      <c r="T108" s="3056"/>
      <c r="U108" s="3056"/>
      <c r="V108" s="3056"/>
      <c r="W108" s="3056"/>
    </row>
    <row r="109" spans="1:23">
      <c r="A109" s="3807"/>
      <c r="B109" s="3809"/>
      <c r="C109" s="2310">
        <f>(-0.163*(C108^2)-0.59*C108+7617)*(10^(-4))/C101</f>
        <v>0.38085000000000002</v>
      </c>
      <c r="D109" s="2310">
        <f>(-0.163*(D108^2)-0.59*D108+7617)*(10^(-4))/D101</f>
        <v>0.38085000000000002</v>
      </c>
      <c r="E109" s="2310">
        <f>(-0.161*(E108^2)-7.509*E108+6533)*(10^(-4))/E101</f>
        <v>0.32665</v>
      </c>
      <c r="F109" s="2310">
        <f>(-0.161*(F108^2)-7.509*F108+6533)*(10^(-4))/F101</f>
        <v>0.32665</v>
      </c>
      <c r="G109" s="2310">
        <f>(-0.161*(G108^2)-7.509*G108+6533)*(10^(-4))/G101</f>
        <v>0.32665</v>
      </c>
      <c r="H109" s="2310">
        <f>(-0.161*(H108^2)-7.509*H108+6533)*(10^(-4))/H101</f>
        <v>0.32665</v>
      </c>
      <c r="I109" s="2310">
        <f>(-0.161*(I108^2)-7.509*I108+6533)*(10^(-4))/I101</f>
        <v>0.32665</v>
      </c>
      <c r="J109" s="2310">
        <f>(-0.214*(J108^2)-21.991*J108+4665)*(10^(-4))/J101</f>
        <v>0.23325000000000001</v>
      </c>
      <c r="K109" s="2310">
        <f>(-0.214*(K108^2)-21.991*K108+4665)*(10^(-4))/K101</f>
        <v>0.23325000000000001</v>
      </c>
      <c r="L109" s="2310">
        <f>(-0.214*(L108^2)-21.991*L108+4665)*(10^(-4))/L101</f>
        <v>0.23325000000000001</v>
      </c>
      <c r="M109" s="2310">
        <f>(-0.214*(M108^2)-21.991*M108+4665)*(10^(-4))/M101</f>
        <v>0.23325000000000001</v>
      </c>
      <c r="N109" s="2310">
        <f>(-0.214*(N108^2)-21.991*N108+4665)*(10^(-4))/N101</f>
        <v>0.23325000000000001</v>
      </c>
      <c r="Q109" s="3056"/>
      <c r="R109" s="3056"/>
      <c r="S109" s="3056"/>
      <c r="T109" s="3056"/>
      <c r="U109" s="3056"/>
      <c r="V109" s="3056"/>
      <c r="W109" s="3056"/>
    </row>
    <row r="110" spans="1:23">
      <c r="A110" s="3803" t="s">
        <v>2684</v>
      </c>
      <c r="B110" s="3803"/>
      <c r="C110" s="3803"/>
      <c r="D110" s="3803"/>
      <c r="E110" s="3803"/>
      <c r="F110" s="3803"/>
      <c r="G110" s="3803"/>
      <c r="H110" s="3803"/>
      <c r="I110" s="3803"/>
      <c r="J110" s="3803"/>
      <c r="K110" s="2078"/>
      <c r="L110" s="2078"/>
      <c r="M110" s="2078"/>
      <c r="N110" s="2078"/>
      <c r="Q110" s="3056"/>
      <c r="R110" s="3056"/>
      <c r="S110" s="3056"/>
      <c r="T110" s="3056"/>
      <c r="U110" s="3056"/>
      <c r="V110" s="3056"/>
      <c r="W110" s="3056"/>
    </row>
    <row r="112" spans="1:23" ht="13.5" thickBot="1"/>
    <row r="113" spans="1:13" ht="25.5" thickBot="1">
      <c r="A113" s="2313" t="s">
        <v>2685</v>
      </c>
      <c r="B113" s="2314">
        <f>G3</f>
        <v>2</v>
      </c>
      <c r="C113" s="2315" t="s">
        <v>2686</v>
      </c>
      <c r="D113" s="2316">
        <f>SUMPRODUCT((A115:A118=F113)*(B114:M114=H113)*B115:M118)</f>
        <v>0</v>
      </c>
      <c r="E113" s="1602" t="s">
        <v>2572</v>
      </c>
      <c r="F113" s="2317" t="str">
        <f>E2</f>
        <v>住宅</v>
      </c>
      <c r="G113" s="1602" t="s">
        <v>2506</v>
      </c>
      <c r="H113" s="2317">
        <f>G2</f>
        <v>0</v>
      </c>
      <c r="I113" s="1602"/>
      <c r="J113" s="2318"/>
      <c r="K113" s="2318"/>
      <c r="L113" s="2318"/>
      <c r="M113" s="2318"/>
    </row>
    <row r="114" spans="1:13">
      <c r="A114" s="2319"/>
      <c r="B114" s="2320" t="s">
        <v>2687</v>
      </c>
      <c r="C114" s="2320" t="s">
        <v>2688</v>
      </c>
      <c r="D114" s="2320" t="s">
        <v>2689</v>
      </c>
      <c r="E114" s="2321" t="s">
        <v>2690</v>
      </c>
      <c r="F114" s="2321" t="s">
        <v>2691</v>
      </c>
      <c r="G114" s="2321" t="s">
        <v>2692</v>
      </c>
      <c r="H114" s="2322" t="s">
        <v>2693</v>
      </c>
      <c r="I114" s="2322" t="s">
        <v>2694</v>
      </c>
      <c r="J114" s="2323" t="s">
        <v>2695</v>
      </c>
      <c r="K114" s="2323" t="s">
        <v>2696</v>
      </c>
      <c r="L114" s="2323" t="s">
        <v>2697</v>
      </c>
      <c r="M114" s="2324" t="s">
        <v>2698</v>
      </c>
    </row>
    <row r="115" spans="1:13">
      <c r="A115" s="2325" t="s">
        <v>2573</v>
      </c>
      <c r="B115" s="2326">
        <f>ROUND(0.9335-0.0094*B113,4)</f>
        <v>0.91469999999999996</v>
      </c>
      <c r="C115" s="2326">
        <f>B115</f>
        <v>0.91469999999999996</v>
      </c>
      <c r="D115" s="2326">
        <f>ROUND(0.8331-0.0109*B113,4)</f>
        <v>0.81130000000000002</v>
      </c>
      <c r="E115" s="2326">
        <f>D115</f>
        <v>0.81130000000000002</v>
      </c>
      <c r="F115" s="2326">
        <f>E115</f>
        <v>0.81130000000000002</v>
      </c>
      <c r="G115" s="2326">
        <f>F115</f>
        <v>0.81130000000000002</v>
      </c>
      <c r="H115" s="2326">
        <f>G115</f>
        <v>0.81130000000000002</v>
      </c>
      <c r="I115" s="2326">
        <f>ROUND(0.689-0.0155*B113,4)</f>
        <v>0.65800000000000003</v>
      </c>
      <c r="J115" s="2326">
        <f t="shared" ref="J115:M118" si="33">I115</f>
        <v>0.65800000000000003</v>
      </c>
      <c r="K115" s="2326">
        <f t="shared" si="33"/>
        <v>0.65800000000000003</v>
      </c>
      <c r="L115" s="2326">
        <f t="shared" si="33"/>
        <v>0.65800000000000003</v>
      </c>
      <c r="M115" s="2327">
        <f t="shared" si="33"/>
        <v>0.65800000000000003</v>
      </c>
    </row>
    <row r="116" spans="1:13">
      <c r="A116" s="2325" t="s">
        <v>2574</v>
      </c>
      <c r="B116" s="2326">
        <f>ROUND(0.949-0.012*B113,4)</f>
        <v>0.92500000000000004</v>
      </c>
      <c r="C116" s="2326">
        <f>B116</f>
        <v>0.92500000000000004</v>
      </c>
      <c r="D116" s="2326">
        <f>ROUND(0.8567-0.013*B113,4)</f>
        <v>0.83069999999999999</v>
      </c>
      <c r="E116" s="2326">
        <f t="shared" ref="E116:H117" si="34">D116</f>
        <v>0.83069999999999999</v>
      </c>
      <c r="F116" s="2326">
        <f t="shared" si="34"/>
        <v>0.83069999999999999</v>
      </c>
      <c r="G116" s="2326">
        <f t="shared" si="34"/>
        <v>0.83069999999999999</v>
      </c>
      <c r="H116" s="2326">
        <f t="shared" si="34"/>
        <v>0.83069999999999999</v>
      </c>
      <c r="I116" s="2326">
        <f>ROUND(0.7694-0.014*B113,4)</f>
        <v>0.74139999999999995</v>
      </c>
      <c r="J116" s="2326">
        <f t="shared" si="33"/>
        <v>0.74139999999999995</v>
      </c>
      <c r="K116" s="2326">
        <f t="shared" si="33"/>
        <v>0.74139999999999995</v>
      </c>
      <c r="L116" s="2326">
        <f t="shared" si="33"/>
        <v>0.74139999999999995</v>
      </c>
      <c r="M116" s="2327">
        <f t="shared" si="33"/>
        <v>0.74139999999999995</v>
      </c>
    </row>
    <row r="117" spans="1:13">
      <c r="A117" s="2325" t="s">
        <v>2575</v>
      </c>
      <c r="B117" s="2326">
        <f>ROUND(0.8808-0.006*B113,4)</f>
        <v>0.86880000000000002</v>
      </c>
      <c r="C117" s="2326">
        <f>B117</f>
        <v>0.86880000000000002</v>
      </c>
      <c r="D117" s="2326">
        <f>ROUND(0.8748-0.008*B113,4)</f>
        <v>0.85880000000000001</v>
      </c>
      <c r="E117" s="2326">
        <f t="shared" si="34"/>
        <v>0.85880000000000001</v>
      </c>
      <c r="F117" s="2326">
        <f t="shared" si="34"/>
        <v>0.85880000000000001</v>
      </c>
      <c r="G117" s="2326">
        <f t="shared" si="34"/>
        <v>0.85880000000000001</v>
      </c>
      <c r="H117" s="2326">
        <f t="shared" si="34"/>
        <v>0.85880000000000001</v>
      </c>
      <c r="I117" s="2326">
        <f>ROUND(0.7412-0.0095*B113,4)</f>
        <v>0.72219999999999995</v>
      </c>
      <c r="J117" s="2326">
        <f t="shared" si="33"/>
        <v>0.72219999999999995</v>
      </c>
      <c r="K117" s="2326">
        <f t="shared" si="33"/>
        <v>0.72219999999999995</v>
      </c>
      <c r="L117" s="2326">
        <f t="shared" si="33"/>
        <v>0.72219999999999995</v>
      </c>
      <c r="M117" s="2327">
        <f t="shared" si="33"/>
        <v>0.72219999999999995</v>
      </c>
    </row>
    <row r="118" spans="1:13" ht="13.5" thickBot="1">
      <c r="A118" s="2328" t="s">
        <v>2576</v>
      </c>
      <c r="B118" s="2329">
        <f>ROUND(0.7275-0.01*B113,4)</f>
        <v>0.70750000000000002</v>
      </c>
      <c r="C118" s="2329">
        <f>B118</f>
        <v>0.70750000000000002</v>
      </c>
      <c r="D118" s="2329">
        <f>ROUND(0.7043-0.012*B113,4)</f>
        <v>0.68030000000000002</v>
      </c>
      <c r="E118" s="2329">
        <f>D118</f>
        <v>0.68030000000000002</v>
      </c>
      <c r="F118" s="2329">
        <f>E118</f>
        <v>0.68030000000000002</v>
      </c>
      <c r="G118" s="2329">
        <f>ROUND(0.6299-0.0122*B113,4)</f>
        <v>0.60550000000000004</v>
      </c>
      <c r="H118" s="2329">
        <f>G118</f>
        <v>0.60550000000000004</v>
      </c>
      <c r="I118" s="2329">
        <f>ROUND(0.5667-0.0136*B113,4)</f>
        <v>0.53949999999999998</v>
      </c>
      <c r="J118" s="2329">
        <f t="shared" si="33"/>
        <v>0.53949999999999998</v>
      </c>
      <c r="K118" s="2329">
        <f t="shared" si="33"/>
        <v>0.53949999999999998</v>
      </c>
      <c r="L118" s="2329">
        <f t="shared" si="33"/>
        <v>0.53949999999999998</v>
      </c>
      <c r="M118" s="2330">
        <f t="shared" si="33"/>
        <v>0.53949999999999998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741" customWidth="1"/>
    <col min="2" max="2" width="10.25" style="674" customWidth="1"/>
  </cols>
  <sheetData>
    <row r="1" spans="1:6">
      <c r="A1" s="3815" t="s">
        <v>779</v>
      </c>
      <c r="B1" s="381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距地铁1号线四惠站（换乘站）约1000米（2003），距地铁7号线百子湾站约1.5公里（2014），周边有多条公交线路通过，交通便捷度较好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城市次干道-百子湾路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48">
      <c r="A10" s="694" t="s">
        <v>719</v>
      </c>
      <c r="B10" s="921" t="str">
        <f>估价对象房地状况!C7</f>
        <v>华堂商场（十里堡店）、北京四惠中医医院（2016）、北京市朝阳区日坛小学（1962）、垂杨柳第四小学（1971）、北京市第十七中学（百子湾校区）（1946）、北京市日坛中学（四惠校区）（2015）</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区域自然环境：惠水湾森林公园（2019）、百子湾绿地公园（2019）；人文环境：北京政法职业学院(杨闸校区)；综合评价环境状况较好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距地铁1号线四惠站（换乘站）约1000米（2003），距地铁7号线百子湾站约1.5公里（2014），周边有多条公交线路通过，交通便捷度较好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城市次干道-百子湾路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48">
      <c r="A21" s="681" t="s">
        <v>719</v>
      </c>
      <c r="B21" s="921" t="str">
        <f>估价对象房地状况!C7</f>
        <v>华堂商场（十里堡店）、北京四惠中医医院（2016）、北京市朝阳区日坛小学（1962）、垂杨柳第四小学（1971）、北京市第十七中学（百子湾校区）（1946）、北京市日坛中学（四惠校区）（2015）</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区域自然环境：惠水湾森林公园（2019）、百子湾绿地公园（2019）；人文环境：北京政法职业学院(杨闸校区)；综合评价环境状况较好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周边有沿海赛洛城、金都杭城、金海国际等住宅小区，居住社区成熟度较好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距地铁1号线四惠站（换乘站）约1000米（2003），距地铁7号线百子湾站约1.5公里（2014），周边有多条公交线路通过，交通便捷度较好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城市次干道-百子湾路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48">
      <c r="A30" s="681" t="s">
        <v>719</v>
      </c>
      <c r="B30" s="921" t="str">
        <f>估价对象房地状况!C7</f>
        <v>华堂商场（十里堡店）、北京四惠中医医院（2016）、北京市朝阳区日坛小学（1962）、垂杨柳第四小学（1971）、北京市第十七中学（百子湾校区）（1946）、北京市日坛中学（四惠校区）（2015）</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区域自然环境：惠水湾森林公园（2019）、百子湾绿地公园（2019）；人文环境：北京政法职业学院(杨闸校区)；综合评价环境状况较好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815" t="s">
        <v>105</v>
      </c>
      <c r="B1" s="3815"/>
      <c r="C1" s="3815"/>
      <c r="D1" s="3815"/>
      <c r="E1" s="3815"/>
      <c r="F1" s="381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816" t="s">
        <v>118</v>
      </c>
      <c r="B2" s="3816"/>
      <c r="C2" s="3816"/>
      <c r="D2" s="3816"/>
      <c r="E2" s="3816"/>
      <c r="F2" s="381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81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81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819" t="s">
        <v>132</v>
      </c>
      <c r="B18" s="768" t="s">
        <v>517</v>
      </c>
      <c r="C18" s="769" t="s">
        <v>518</v>
      </c>
      <c r="D18" s="770"/>
      <c r="E18" s="768">
        <v>1</v>
      </c>
      <c r="F18" s="771" t="s">
        <v>519</v>
      </c>
      <c r="G18" s="772"/>
      <c r="H18" s="764"/>
      <c r="I18" s="764"/>
    </row>
    <row r="19" spans="1:9" s="773" customFormat="1" ht="19.5" customHeight="1">
      <c r="A19" s="3819"/>
      <c r="B19" s="3819" t="s">
        <v>520</v>
      </c>
      <c r="C19" s="769" t="s">
        <v>521</v>
      </c>
      <c r="D19" s="770"/>
      <c r="E19" s="768">
        <v>0.9</v>
      </c>
      <c r="F19" s="771" t="s">
        <v>522</v>
      </c>
      <c r="G19" s="772"/>
      <c r="H19" s="764"/>
      <c r="I19" s="764"/>
    </row>
    <row r="20" spans="1:9" s="773" customFormat="1" ht="19.5" customHeight="1">
      <c r="A20" s="3819"/>
      <c r="B20" s="3819"/>
      <c r="C20" s="769" t="s">
        <v>523</v>
      </c>
      <c r="D20" s="770"/>
      <c r="E20" s="768">
        <v>1.1000000000000001</v>
      </c>
      <c r="F20" s="771" t="s">
        <v>524</v>
      </c>
      <c r="G20" s="772"/>
      <c r="H20" s="764"/>
      <c r="I20" s="764"/>
    </row>
    <row r="21" spans="1:9" s="773" customFormat="1" ht="19.5" customHeight="1">
      <c r="A21" s="3819"/>
      <c r="B21" s="3819"/>
      <c r="C21" s="769" t="s">
        <v>525</v>
      </c>
      <c r="D21" s="770"/>
      <c r="E21" s="768">
        <v>0.8</v>
      </c>
      <c r="F21" s="771" t="s">
        <v>526</v>
      </c>
      <c r="G21" s="772"/>
      <c r="H21" s="764"/>
      <c r="I21" s="764"/>
    </row>
    <row r="22" spans="1:9" s="773" customFormat="1" ht="19.5" customHeight="1">
      <c r="A22" s="3819"/>
      <c r="B22" s="3819"/>
      <c r="C22" s="769" t="s">
        <v>527</v>
      </c>
      <c r="D22" s="770"/>
      <c r="E22" s="768">
        <v>0.5</v>
      </c>
      <c r="F22" s="771"/>
      <c r="G22" s="772"/>
      <c r="H22" s="764"/>
      <c r="I22" s="764"/>
    </row>
    <row r="23" spans="1:9" s="773" customFormat="1" ht="19.5" customHeight="1">
      <c r="A23" s="3819" t="s">
        <v>133</v>
      </c>
      <c r="B23" s="768" t="s">
        <v>517</v>
      </c>
      <c r="C23" s="769" t="s">
        <v>528</v>
      </c>
      <c r="D23" s="770"/>
      <c r="E23" s="768">
        <v>1</v>
      </c>
      <c r="F23" s="771" t="s">
        <v>529</v>
      </c>
      <c r="G23" s="772"/>
      <c r="H23" s="764"/>
      <c r="I23" s="764"/>
    </row>
    <row r="24" spans="1:9" s="773" customFormat="1" ht="19.5" customHeight="1">
      <c r="A24" s="3819"/>
      <c r="B24" s="3819" t="s">
        <v>520</v>
      </c>
      <c r="C24" s="769" t="s">
        <v>530</v>
      </c>
      <c r="D24" s="770"/>
      <c r="E24" s="768">
        <v>0.5</v>
      </c>
      <c r="F24" s="771"/>
      <c r="G24" s="772"/>
      <c r="H24" s="764"/>
      <c r="I24" s="764"/>
    </row>
    <row r="25" spans="1:9" s="773" customFormat="1" ht="19.5" customHeight="1">
      <c r="A25" s="3819"/>
      <c r="B25" s="3819"/>
      <c r="C25" s="769" t="s">
        <v>531</v>
      </c>
      <c r="D25" s="770"/>
      <c r="E25" s="768">
        <v>1.1000000000000001</v>
      </c>
      <c r="F25" s="771"/>
      <c r="G25" s="772"/>
      <c r="H25" s="764"/>
      <c r="I25" s="764"/>
    </row>
    <row r="26" spans="1:9" s="773" customFormat="1" ht="19.5" customHeight="1">
      <c r="A26" s="3819"/>
      <c r="B26" s="3819"/>
      <c r="C26" s="769" t="s">
        <v>532</v>
      </c>
      <c r="D26" s="770"/>
      <c r="E26" s="768">
        <v>1.1000000000000001</v>
      </c>
      <c r="F26" s="771"/>
      <c r="G26" s="772"/>
      <c r="H26" s="764"/>
      <c r="I26" s="764"/>
    </row>
    <row r="27" spans="1:9" s="773" customFormat="1" ht="19.5" customHeight="1">
      <c r="A27" s="3819"/>
      <c r="B27" s="3819"/>
      <c r="C27" s="769" t="s">
        <v>533</v>
      </c>
      <c r="D27" s="770"/>
      <c r="E27" s="768">
        <v>0.9</v>
      </c>
      <c r="F27" s="771" t="s">
        <v>534</v>
      </c>
      <c r="G27" s="772"/>
      <c r="H27" s="764"/>
      <c r="I27" s="764"/>
    </row>
    <row r="28" spans="1:9" s="773" customFormat="1" ht="19.5" customHeight="1">
      <c r="A28" s="3819"/>
      <c r="B28" s="3819"/>
      <c r="C28" s="769" t="s">
        <v>535</v>
      </c>
      <c r="D28" s="770"/>
      <c r="E28" s="768">
        <v>0.9</v>
      </c>
      <c r="F28" s="771" t="s">
        <v>536</v>
      </c>
      <c r="G28" s="772"/>
      <c r="H28" s="764"/>
      <c r="I28" s="764"/>
    </row>
    <row r="29" spans="1:9" s="773" customFormat="1" ht="19.5" customHeight="1">
      <c r="A29" s="3819"/>
      <c r="B29" s="3819"/>
      <c r="C29" s="769" t="s">
        <v>537</v>
      </c>
      <c r="D29" s="770"/>
      <c r="E29" s="768">
        <v>0.9</v>
      </c>
      <c r="F29" s="771" t="s">
        <v>538</v>
      </c>
      <c r="G29" s="772"/>
      <c r="H29" s="764"/>
      <c r="I29" s="764"/>
    </row>
    <row r="30" spans="1:9" s="773" customFormat="1" ht="19.5" customHeight="1">
      <c r="A30" s="3819"/>
      <c r="B30" s="3819"/>
      <c r="C30" s="769" t="s">
        <v>539</v>
      </c>
      <c r="D30" s="770"/>
      <c r="E30" s="768">
        <v>0.9</v>
      </c>
      <c r="F30" s="771" t="s">
        <v>540</v>
      </c>
      <c r="G30" s="772"/>
      <c r="H30" s="764"/>
      <c r="I30" s="764"/>
    </row>
    <row r="31" spans="1:9" s="773" customFormat="1" ht="19.5" customHeight="1">
      <c r="A31" s="3819"/>
      <c r="B31" s="3819"/>
      <c r="C31" s="769" t="s">
        <v>541</v>
      </c>
      <c r="D31" s="770"/>
      <c r="E31" s="768">
        <v>0.8</v>
      </c>
      <c r="F31" s="771" t="s">
        <v>542</v>
      </c>
      <c r="G31" s="772"/>
      <c r="H31" s="764"/>
      <c r="I31" s="764"/>
    </row>
    <row r="32" spans="1:9" s="773" customFormat="1" ht="19.5" customHeight="1">
      <c r="A32" s="3819"/>
      <c r="B32" s="3819"/>
      <c r="C32" s="769" t="s">
        <v>543</v>
      </c>
      <c r="D32" s="770"/>
      <c r="E32" s="768">
        <v>0.8</v>
      </c>
      <c r="F32" s="771" t="s">
        <v>544</v>
      </c>
      <c r="G32" s="772"/>
      <c r="H32" s="764"/>
      <c r="I32" s="764"/>
    </row>
    <row r="33" spans="1:9" s="773" customFormat="1" ht="19.5" customHeight="1">
      <c r="A33" s="3819" t="s">
        <v>134</v>
      </c>
      <c r="B33" s="768" t="s">
        <v>517</v>
      </c>
      <c r="C33" s="769" t="s">
        <v>545</v>
      </c>
      <c r="D33" s="770"/>
      <c r="E33" s="768">
        <v>1</v>
      </c>
      <c r="F33" s="771" t="s">
        <v>546</v>
      </c>
      <c r="G33" s="772"/>
      <c r="H33" s="764"/>
      <c r="I33" s="764"/>
    </row>
    <row r="34" spans="1:9" s="773" customFormat="1" ht="19.5" customHeight="1">
      <c r="A34" s="3819"/>
      <c r="B34" s="768" t="s">
        <v>520</v>
      </c>
      <c r="C34" s="769" t="s">
        <v>547</v>
      </c>
      <c r="D34" s="770"/>
      <c r="E34" s="768">
        <v>1.5</v>
      </c>
      <c r="F34" s="771" t="s">
        <v>548</v>
      </c>
      <c r="G34" s="772"/>
      <c r="H34" s="764"/>
      <c r="I34" s="764"/>
    </row>
    <row r="35" spans="1:9" s="773" customFormat="1" ht="19.5" customHeight="1">
      <c r="A35" s="3819" t="s">
        <v>135</v>
      </c>
      <c r="B35" s="768" t="s">
        <v>517</v>
      </c>
      <c r="C35" s="769" t="s">
        <v>549</v>
      </c>
      <c r="D35" s="770"/>
      <c r="E35" s="768">
        <v>1</v>
      </c>
      <c r="F35" s="771" t="s">
        <v>550</v>
      </c>
      <c r="G35" s="772"/>
      <c r="H35" s="764"/>
      <c r="I35" s="764"/>
    </row>
    <row r="36" spans="1:9" s="773" customFormat="1" ht="19.5" customHeight="1">
      <c r="A36" s="3819"/>
      <c r="B36" s="3819" t="s">
        <v>520</v>
      </c>
      <c r="C36" s="769" t="s">
        <v>551</v>
      </c>
      <c r="D36" s="770"/>
      <c r="E36" s="768">
        <v>1</v>
      </c>
      <c r="F36" s="771" t="s">
        <v>552</v>
      </c>
      <c r="G36" s="772"/>
      <c r="H36" s="764"/>
      <c r="I36" s="764"/>
    </row>
    <row r="37" spans="1:9" s="773" customFormat="1" ht="19.5" customHeight="1">
      <c r="A37" s="3819"/>
      <c r="B37" s="3819"/>
      <c r="C37" s="769" t="s">
        <v>553</v>
      </c>
      <c r="D37" s="770"/>
      <c r="E37" s="768">
        <v>1.5</v>
      </c>
      <c r="F37" s="771" t="s">
        <v>554</v>
      </c>
      <c r="G37" s="772"/>
      <c r="H37" s="764"/>
      <c r="I37" s="764"/>
    </row>
    <row r="38" spans="1:9" s="773" customFormat="1" ht="19.5" customHeight="1">
      <c r="A38" s="3819"/>
      <c r="B38" s="3819"/>
      <c r="C38" s="769" t="s">
        <v>555</v>
      </c>
      <c r="D38" s="770"/>
      <c r="E38" s="768">
        <v>1</v>
      </c>
      <c r="F38" s="771" t="s">
        <v>556</v>
      </c>
      <c r="G38" s="772"/>
      <c r="H38" s="764"/>
      <c r="I38" s="764"/>
    </row>
    <row r="39" spans="1:9" s="773" customFormat="1" ht="19.5" customHeight="1">
      <c r="A39" s="3819"/>
      <c r="B39" s="381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819" t="s">
        <v>571</v>
      </c>
      <c r="C61" s="682" t="s">
        <v>572</v>
      </c>
      <c r="D61" s="682" t="s">
        <v>573</v>
      </c>
      <c r="E61" s="781">
        <v>0.5</v>
      </c>
      <c r="F61" s="768">
        <v>80</v>
      </c>
    </row>
    <row r="62" spans="1:8" s="764" customFormat="1" ht="24">
      <c r="A62" s="768">
        <v>2</v>
      </c>
      <c r="B62" s="3819"/>
      <c r="C62" s="682" t="s">
        <v>574</v>
      </c>
      <c r="D62" s="682" t="s">
        <v>575</v>
      </c>
      <c r="E62" s="781">
        <v>0.5</v>
      </c>
      <c r="F62" s="768">
        <v>80</v>
      </c>
    </row>
    <row r="63" spans="1:8" s="764" customFormat="1" ht="36">
      <c r="A63" s="768">
        <v>3</v>
      </c>
      <c r="B63" s="3819"/>
      <c r="C63" s="682" t="s">
        <v>576</v>
      </c>
      <c r="D63" s="682" t="s">
        <v>577</v>
      </c>
      <c r="E63" s="781">
        <v>0.5</v>
      </c>
      <c r="F63" s="768">
        <v>80</v>
      </c>
    </row>
    <row r="64" spans="1:8" s="764" customFormat="1" ht="36">
      <c r="A64" s="768">
        <v>4</v>
      </c>
      <c r="B64" s="3819"/>
      <c r="C64" s="682" t="s">
        <v>578</v>
      </c>
      <c r="D64" s="682" t="s">
        <v>579</v>
      </c>
      <c r="E64" s="781">
        <v>0.4</v>
      </c>
      <c r="F64" s="768">
        <v>60</v>
      </c>
    </row>
    <row r="65" spans="1:6" s="764" customFormat="1" ht="36">
      <c r="A65" s="768">
        <v>5</v>
      </c>
      <c r="B65" s="3819"/>
      <c r="C65" s="682" t="s">
        <v>580</v>
      </c>
      <c r="D65" s="682" t="s">
        <v>581</v>
      </c>
      <c r="E65" s="781">
        <v>0.2</v>
      </c>
      <c r="F65" s="768">
        <v>30</v>
      </c>
    </row>
    <row r="66" spans="1:6" s="764" customFormat="1" ht="36">
      <c r="A66" s="768">
        <v>6</v>
      </c>
      <c r="B66" s="3819"/>
      <c r="C66" s="682" t="s">
        <v>582</v>
      </c>
      <c r="D66" s="682" t="s">
        <v>583</v>
      </c>
      <c r="E66" s="781">
        <v>0.3</v>
      </c>
      <c r="F66" s="768">
        <v>50</v>
      </c>
    </row>
    <row r="67" spans="1:6" s="764" customFormat="1" ht="36">
      <c r="A67" s="768">
        <v>7</v>
      </c>
      <c r="B67" s="3819"/>
      <c r="C67" s="682" t="s">
        <v>584</v>
      </c>
      <c r="D67" s="682" t="s">
        <v>585</v>
      </c>
      <c r="E67" s="781">
        <v>0.2</v>
      </c>
      <c r="F67" s="768">
        <v>30</v>
      </c>
    </row>
    <row r="68" spans="1:6" s="764" customFormat="1" ht="36">
      <c r="A68" s="768">
        <v>8</v>
      </c>
      <c r="B68" s="3819"/>
      <c r="C68" s="682" t="s">
        <v>586</v>
      </c>
      <c r="D68" s="682" t="s">
        <v>587</v>
      </c>
      <c r="E68" s="781">
        <v>0.2</v>
      </c>
      <c r="F68" s="768">
        <v>30</v>
      </c>
    </row>
    <row r="69" spans="1:6" s="764" customFormat="1" ht="36">
      <c r="A69" s="768">
        <v>9</v>
      </c>
      <c r="B69" s="3819"/>
      <c r="C69" s="682" t="s">
        <v>588</v>
      </c>
      <c r="D69" s="682" t="s">
        <v>589</v>
      </c>
      <c r="E69" s="781">
        <v>0.2</v>
      </c>
      <c r="F69" s="768">
        <v>30</v>
      </c>
    </row>
    <row r="70" spans="1:6" s="764" customFormat="1" ht="48">
      <c r="A70" s="768">
        <v>10</v>
      </c>
      <c r="B70" s="3819"/>
      <c r="C70" s="682" t="s">
        <v>590</v>
      </c>
      <c r="D70" s="682" t="s">
        <v>591</v>
      </c>
      <c r="E70" s="781">
        <v>0.2</v>
      </c>
      <c r="F70" s="768">
        <v>30</v>
      </c>
    </row>
    <row r="71" spans="1:6" s="764" customFormat="1" ht="48">
      <c r="A71" s="768">
        <v>11</v>
      </c>
      <c r="B71" s="3819"/>
      <c r="C71" s="682" t="s">
        <v>592</v>
      </c>
      <c r="D71" s="682" t="s">
        <v>593</v>
      </c>
      <c r="E71" s="781">
        <v>0.2</v>
      </c>
      <c r="F71" s="768">
        <v>30</v>
      </c>
    </row>
    <row r="72" spans="1:6" s="764" customFormat="1" ht="36">
      <c r="A72" s="768">
        <v>12</v>
      </c>
      <c r="B72" s="3819"/>
      <c r="C72" s="682" t="s">
        <v>594</v>
      </c>
      <c r="D72" s="682" t="s">
        <v>595</v>
      </c>
      <c r="E72" s="781">
        <v>0.5</v>
      </c>
      <c r="F72" s="768">
        <v>80</v>
      </c>
    </row>
    <row r="73" spans="1:6" s="764" customFormat="1" ht="24">
      <c r="A73" s="768">
        <v>13</v>
      </c>
      <c r="B73" s="3819"/>
      <c r="C73" s="682" t="s">
        <v>596</v>
      </c>
      <c r="D73" s="682" t="s">
        <v>597</v>
      </c>
      <c r="E73" s="781">
        <v>0.4</v>
      </c>
      <c r="F73" s="768">
        <v>60</v>
      </c>
    </row>
    <row r="74" spans="1:6" s="764" customFormat="1" ht="24">
      <c r="A74" s="768">
        <v>14</v>
      </c>
      <c r="B74" s="3819"/>
      <c r="C74" s="682" t="s">
        <v>598</v>
      </c>
      <c r="D74" s="682" t="s">
        <v>599</v>
      </c>
      <c r="E74" s="781">
        <v>0.2</v>
      </c>
      <c r="F74" s="768">
        <v>30</v>
      </c>
    </row>
    <row r="75" spans="1:6" s="764" customFormat="1" ht="24">
      <c r="A75" s="768">
        <v>15</v>
      </c>
      <c r="B75" s="3819"/>
      <c r="C75" s="682" t="s">
        <v>600</v>
      </c>
      <c r="D75" s="682" t="s">
        <v>601</v>
      </c>
      <c r="E75" s="781">
        <v>0.2</v>
      </c>
      <c r="F75" s="768">
        <v>30</v>
      </c>
    </row>
    <row r="76" spans="1:6" s="764" customFormat="1" ht="24">
      <c r="A76" s="768">
        <v>16</v>
      </c>
      <c r="B76" s="3819" t="s">
        <v>602</v>
      </c>
      <c r="C76" s="682" t="s">
        <v>603</v>
      </c>
      <c r="D76" s="682" t="s">
        <v>604</v>
      </c>
      <c r="E76" s="781">
        <v>0.5</v>
      </c>
      <c r="F76" s="768">
        <v>80</v>
      </c>
    </row>
    <row r="77" spans="1:6" s="764" customFormat="1" ht="24">
      <c r="A77" s="768">
        <v>17</v>
      </c>
      <c r="B77" s="3819"/>
      <c r="C77" s="682" t="s">
        <v>605</v>
      </c>
      <c r="D77" s="682" t="s">
        <v>606</v>
      </c>
      <c r="E77" s="781">
        <v>0.5</v>
      </c>
      <c r="F77" s="768">
        <v>80</v>
      </c>
    </row>
    <row r="78" spans="1:6" s="764" customFormat="1" ht="24">
      <c r="A78" s="768">
        <v>18</v>
      </c>
      <c r="B78" s="3819"/>
      <c r="C78" s="682" t="s">
        <v>607</v>
      </c>
      <c r="D78" s="682" t="s">
        <v>608</v>
      </c>
      <c r="E78" s="781">
        <v>0.2</v>
      </c>
      <c r="F78" s="768">
        <v>30</v>
      </c>
    </row>
    <row r="79" spans="1:6" s="764" customFormat="1" ht="24">
      <c r="A79" s="768">
        <v>19</v>
      </c>
      <c r="B79" s="3819"/>
      <c r="C79" s="682" t="s">
        <v>609</v>
      </c>
      <c r="D79" s="682" t="s">
        <v>610</v>
      </c>
      <c r="E79" s="781">
        <v>0.5</v>
      </c>
      <c r="F79" s="768">
        <v>80</v>
      </c>
    </row>
    <row r="80" spans="1:6" s="764" customFormat="1" ht="36">
      <c r="A80" s="768">
        <v>20</v>
      </c>
      <c r="B80" s="3819"/>
      <c r="C80" s="682" t="s">
        <v>611</v>
      </c>
      <c r="D80" s="682" t="s">
        <v>612</v>
      </c>
      <c r="E80" s="781">
        <v>0.2</v>
      </c>
      <c r="F80" s="768">
        <v>30</v>
      </c>
    </row>
    <row r="81" spans="1:6" s="764" customFormat="1" ht="36">
      <c r="A81" s="768">
        <v>21</v>
      </c>
      <c r="B81" s="3819"/>
      <c r="C81" s="682" t="s">
        <v>613</v>
      </c>
      <c r="D81" s="682" t="s">
        <v>614</v>
      </c>
      <c r="E81" s="781">
        <v>0.2</v>
      </c>
      <c r="F81" s="768">
        <v>30</v>
      </c>
    </row>
    <row r="82" spans="1:6" s="764" customFormat="1" ht="48">
      <c r="A82" s="768">
        <v>22</v>
      </c>
      <c r="B82" s="3819"/>
      <c r="C82" s="682" t="s">
        <v>615</v>
      </c>
      <c r="D82" s="682" t="s">
        <v>616</v>
      </c>
      <c r="E82" s="781">
        <v>0.2</v>
      </c>
      <c r="F82" s="768">
        <v>30</v>
      </c>
    </row>
    <row r="83" spans="1:6" s="764" customFormat="1" ht="48">
      <c r="A83" s="768">
        <v>23</v>
      </c>
      <c r="B83" s="3819"/>
      <c r="C83" s="682" t="s">
        <v>617</v>
      </c>
      <c r="D83" s="682" t="s">
        <v>618</v>
      </c>
      <c r="E83" s="781">
        <v>0.2</v>
      </c>
      <c r="F83" s="768">
        <v>30</v>
      </c>
    </row>
    <row r="84" spans="1:6" s="764" customFormat="1" ht="36">
      <c r="A84" s="768">
        <v>24</v>
      </c>
      <c r="B84" s="3819"/>
      <c r="C84" s="682" t="s">
        <v>619</v>
      </c>
      <c r="D84" s="682" t="s">
        <v>620</v>
      </c>
      <c r="E84" s="781">
        <v>0.2</v>
      </c>
      <c r="F84" s="768">
        <v>30</v>
      </c>
    </row>
    <row r="85" spans="1:6" s="764" customFormat="1" ht="36">
      <c r="A85" s="768">
        <v>25</v>
      </c>
      <c r="B85" s="3819"/>
      <c r="C85" s="682" t="s">
        <v>621</v>
      </c>
      <c r="D85" s="682" t="s">
        <v>622</v>
      </c>
      <c r="E85" s="781">
        <v>0.5</v>
      </c>
      <c r="F85" s="768">
        <v>80</v>
      </c>
    </row>
    <row r="86" spans="1:6" s="764" customFormat="1" ht="36">
      <c r="A86" s="768">
        <v>26</v>
      </c>
      <c r="B86" s="3819"/>
      <c r="C86" s="682" t="s">
        <v>623</v>
      </c>
      <c r="D86" s="682" t="s">
        <v>624</v>
      </c>
      <c r="E86" s="781">
        <v>0.2</v>
      </c>
      <c r="F86" s="768">
        <v>30</v>
      </c>
    </row>
    <row r="87" spans="1:6" s="764" customFormat="1" ht="36">
      <c r="A87" s="768">
        <v>27</v>
      </c>
      <c r="B87" s="3819"/>
      <c r="C87" s="682" t="s">
        <v>625</v>
      </c>
      <c r="D87" s="682" t="s">
        <v>626</v>
      </c>
      <c r="E87" s="781">
        <v>0.2</v>
      </c>
      <c r="F87" s="768">
        <v>30</v>
      </c>
    </row>
    <row r="88" spans="1:6" s="764" customFormat="1" ht="36">
      <c r="A88" s="768">
        <v>28</v>
      </c>
      <c r="B88" s="3819"/>
      <c r="C88" s="682" t="s">
        <v>627</v>
      </c>
      <c r="D88" s="682" t="s">
        <v>628</v>
      </c>
      <c r="E88" s="781">
        <v>0.2</v>
      </c>
      <c r="F88" s="768">
        <v>30</v>
      </c>
    </row>
    <row r="89" spans="1:6" s="764" customFormat="1" ht="24">
      <c r="A89" s="768">
        <v>29</v>
      </c>
      <c r="B89" s="3819"/>
      <c r="C89" s="682" t="s">
        <v>629</v>
      </c>
      <c r="D89" s="682" t="s">
        <v>630</v>
      </c>
      <c r="E89" s="781">
        <v>0.2</v>
      </c>
      <c r="F89" s="768">
        <v>30</v>
      </c>
    </row>
    <row r="90" spans="1:6" s="764" customFormat="1" ht="24">
      <c r="A90" s="768">
        <v>30</v>
      </c>
      <c r="B90" s="3819"/>
      <c r="C90" s="682" t="s">
        <v>631</v>
      </c>
      <c r="D90" s="682" t="s">
        <v>632</v>
      </c>
      <c r="E90" s="781">
        <v>0.2</v>
      </c>
      <c r="F90" s="768">
        <v>30</v>
      </c>
    </row>
    <row r="91" spans="1:6" s="764" customFormat="1" ht="36">
      <c r="A91" s="768">
        <v>31</v>
      </c>
      <c r="B91" s="3819"/>
      <c r="C91" s="682" t="s">
        <v>633</v>
      </c>
      <c r="D91" s="682" t="s">
        <v>634</v>
      </c>
      <c r="E91" s="781">
        <v>0.2</v>
      </c>
      <c r="F91" s="768">
        <v>30</v>
      </c>
    </row>
    <row r="92" spans="1:6" s="764" customFormat="1" ht="24">
      <c r="A92" s="768">
        <v>32</v>
      </c>
      <c r="B92" s="3819" t="s">
        <v>635</v>
      </c>
      <c r="C92" s="768" t="s">
        <v>636</v>
      </c>
      <c r="D92" s="682" t="s">
        <v>637</v>
      </c>
      <c r="E92" s="781">
        <v>0.2</v>
      </c>
      <c r="F92" s="768">
        <v>30</v>
      </c>
    </row>
    <row r="93" spans="1:6" s="764" customFormat="1" ht="36">
      <c r="A93" s="768">
        <v>33</v>
      </c>
      <c r="B93" s="3819"/>
      <c r="C93" s="768" t="s">
        <v>638</v>
      </c>
      <c r="D93" s="682" t="s">
        <v>639</v>
      </c>
      <c r="E93" s="781">
        <v>0.2</v>
      </c>
      <c r="F93" s="768">
        <v>30</v>
      </c>
    </row>
    <row r="94" spans="1:6" s="764" customFormat="1" ht="48">
      <c r="A94" s="768">
        <v>34</v>
      </c>
      <c r="B94" s="3819"/>
      <c r="C94" s="768" t="s">
        <v>640</v>
      </c>
      <c r="D94" s="682" t="s">
        <v>641</v>
      </c>
      <c r="E94" s="781">
        <v>0.2</v>
      </c>
      <c r="F94" s="768">
        <v>30</v>
      </c>
    </row>
    <row r="95" spans="1:6" s="764" customFormat="1" ht="36">
      <c r="A95" s="768">
        <v>35</v>
      </c>
      <c r="B95" s="3819"/>
      <c r="C95" s="768" t="s">
        <v>642</v>
      </c>
      <c r="D95" s="682" t="s">
        <v>643</v>
      </c>
      <c r="E95" s="781">
        <v>0.2</v>
      </c>
      <c r="F95" s="768">
        <v>30</v>
      </c>
    </row>
    <row r="96" spans="1:6" s="764" customFormat="1" ht="48">
      <c r="A96" s="768">
        <v>36</v>
      </c>
      <c r="B96" s="3819"/>
      <c r="C96" s="682" t="s">
        <v>644</v>
      </c>
      <c r="D96" s="682" t="s">
        <v>645</v>
      </c>
      <c r="E96" s="781">
        <v>0.2</v>
      </c>
      <c r="F96" s="768">
        <v>30</v>
      </c>
    </row>
    <row r="97" spans="1:6" s="764" customFormat="1" ht="36">
      <c r="A97" s="768">
        <v>37</v>
      </c>
      <c r="B97" s="3819"/>
      <c r="C97" s="768" t="s">
        <v>646</v>
      </c>
      <c r="D97" s="682" t="s">
        <v>647</v>
      </c>
      <c r="E97" s="781">
        <v>0.2</v>
      </c>
      <c r="F97" s="768">
        <v>30</v>
      </c>
    </row>
    <row r="98" spans="1:6" s="764" customFormat="1" ht="36">
      <c r="A98" s="768">
        <v>38</v>
      </c>
      <c r="B98" s="3819"/>
      <c r="C98" s="768" t="s">
        <v>648</v>
      </c>
      <c r="D98" s="682" t="s">
        <v>649</v>
      </c>
      <c r="E98" s="781">
        <v>0.2</v>
      </c>
      <c r="F98" s="768">
        <v>30</v>
      </c>
    </row>
    <row r="99" spans="1:6" s="764" customFormat="1" ht="36">
      <c r="A99" s="768">
        <v>39</v>
      </c>
      <c r="B99" s="3819" t="s">
        <v>650</v>
      </c>
      <c r="C99" s="768" t="s">
        <v>651</v>
      </c>
      <c r="D99" s="682" t="s">
        <v>652</v>
      </c>
      <c r="E99" s="781">
        <v>0.3</v>
      </c>
      <c r="F99" s="768">
        <v>50</v>
      </c>
    </row>
    <row r="100" spans="1:6" s="764" customFormat="1" ht="24">
      <c r="A100" s="768">
        <v>40</v>
      </c>
      <c r="B100" s="3819"/>
      <c r="C100" s="768" t="s">
        <v>653</v>
      </c>
      <c r="D100" s="682" t="s">
        <v>654</v>
      </c>
      <c r="E100" s="781">
        <v>0.2</v>
      </c>
      <c r="F100" s="768">
        <v>30</v>
      </c>
    </row>
    <row r="101" spans="1:6" s="764" customFormat="1" ht="36">
      <c r="A101" s="768">
        <v>41</v>
      </c>
      <c r="B101" s="381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819" t="s">
        <v>665</v>
      </c>
      <c r="C105" s="768" t="s">
        <v>666</v>
      </c>
      <c r="D105" s="682" t="s">
        <v>667</v>
      </c>
      <c r="E105" s="781">
        <v>0.2</v>
      </c>
      <c r="F105" s="768">
        <v>30</v>
      </c>
    </row>
    <row r="106" spans="1:6" s="764" customFormat="1" ht="36">
      <c r="A106" s="768">
        <v>46</v>
      </c>
      <c r="B106" s="3819"/>
      <c r="C106" s="768" t="s">
        <v>668</v>
      </c>
      <c r="D106" s="682" t="s">
        <v>669</v>
      </c>
      <c r="E106" s="781">
        <v>0.2</v>
      </c>
      <c r="F106" s="768">
        <v>30</v>
      </c>
    </row>
    <row r="107" spans="1:6" s="764" customFormat="1" ht="36">
      <c r="A107" s="768">
        <v>47</v>
      </c>
      <c r="B107" s="3819" t="s">
        <v>670</v>
      </c>
      <c r="C107" s="768" t="s">
        <v>671</v>
      </c>
      <c r="D107" s="682" t="s">
        <v>672</v>
      </c>
      <c r="E107" s="781">
        <v>0.3</v>
      </c>
      <c r="F107" s="768">
        <v>50</v>
      </c>
    </row>
    <row r="108" spans="1:6" s="764" customFormat="1" ht="36">
      <c r="A108" s="768">
        <v>48</v>
      </c>
      <c r="B108" s="381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819" t="s">
        <v>681</v>
      </c>
      <c r="C111" s="768" t="s">
        <v>682</v>
      </c>
      <c r="D111" s="682" t="s">
        <v>683</v>
      </c>
      <c r="E111" s="781">
        <v>0.2</v>
      </c>
      <c r="F111" s="768">
        <v>30</v>
      </c>
    </row>
    <row r="112" spans="1:6" s="764" customFormat="1" ht="24">
      <c r="A112" s="768">
        <v>52</v>
      </c>
      <c r="B112" s="3819"/>
      <c r="C112" s="768" t="s">
        <v>684</v>
      </c>
      <c r="D112" s="682" t="s">
        <v>685</v>
      </c>
      <c r="E112" s="781">
        <v>0.2</v>
      </c>
      <c r="F112" s="768">
        <v>30</v>
      </c>
    </row>
    <row r="113" spans="1:6" s="764" customFormat="1" ht="24">
      <c r="A113" s="768">
        <v>53</v>
      </c>
      <c r="B113" s="381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819" t="s">
        <v>694</v>
      </c>
      <c r="C116" s="768" t="s">
        <v>695</v>
      </c>
      <c r="D116" s="682" t="s">
        <v>696</v>
      </c>
      <c r="E116" s="781">
        <v>0.2</v>
      </c>
      <c r="F116" s="768">
        <v>30</v>
      </c>
    </row>
    <row r="117" spans="1:6" ht="36">
      <c r="A117" s="768">
        <v>57</v>
      </c>
      <c r="B117" s="381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6"/>
  <sheetViews>
    <sheetView zoomScale="80" zoomScaleNormal="80" workbookViewId="0">
      <selection activeCell="A7" sqref="A7:XFD7"/>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825" t="s">
        <v>1020</v>
      </c>
      <c r="C1" s="3825"/>
      <c r="D1" s="3825"/>
      <c r="E1" s="3825"/>
      <c r="F1" s="3825"/>
      <c r="G1" s="3821" t="s">
        <v>1021</v>
      </c>
      <c r="H1" s="3821"/>
      <c r="I1" s="3821"/>
      <c r="J1" s="3821"/>
      <c r="K1" s="3821"/>
      <c r="L1" s="3821"/>
      <c r="N1" s="3821" t="s">
        <v>1022</v>
      </c>
      <c r="O1" s="3821"/>
      <c r="P1" s="3821"/>
      <c r="Q1" s="3821"/>
      <c r="S1" s="3821" t="s">
        <v>1023</v>
      </c>
      <c r="T1" s="3821"/>
      <c r="U1" s="3821"/>
      <c r="V1" s="3821"/>
      <c r="X1" s="3820" t="s">
        <v>1024</v>
      </c>
      <c r="Y1" s="3821"/>
      <c r="Z1" s="3821"/>
      <c r="AA1" s="3821"/>
      <c r="AB1" s="3821"/>
      <c r="AD1" s="3820" t="s">
        <v>1025</v>
      </c>
      <c r="AE1" s="3821"/>
      <c r="AF1" s="3821"/>
      <c r="AG1" s="3821"/>
      <c r="AH1" s="3821"/>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2704</v>
      </c>
      <c r="B3" s="2337"/>
      <c r="C3" s="2337"/>
      <c r="D3" s="2338"/>
      <c r="E3" s="2338"/>
      <c r="F3" s="2337"/>
      <c r="G3" s="2339"/>
      <c r="H3" s="2340"/>
      <c r="I3" s="2341">
        <f>ROUND(AVERAGE(I4:I33),2)</f>
        <v>1.68</v>
      </c>
      <c r="J3" s="2341">
        <f>ROUND(AVERAGE(J4:J33),2)</f>
        <v>1.1000000000000001</v>
      </c>
      <c r="K3" s="2341">
        <f>ROUND(AVERAGE(K4:K33),2)</f>
        <v>1.85</v>
      </c>
      <c r="L3" s="2342">
        <f>ROUND(AVERAGE(L4:L33),2)</f>
        <v>1.19</v>
      </c>
      <c r="N3" s="2339"/>
      <c r="S3" s="2339"/>
      <c r="W3" s="2344"/>
      <c r="X3" s="2345">
        <f>ROUND(SUMPRODUCT(PRODUCT(1+N3:N$32)),4)</f>
        <v>1.571</v>
      </c>
      <c r="Y3" s="2345">
        <f>ROUND(SUMPRODUCT(PRODUCT(1+O3:O$32)),4)</f>
        <v>1.3420000000000001</v>
      </c>
      <c r="Z3" s="2345">
        <f t="shared" ref="Z3:Z30" si="0">Y3</f>
        <v>1.3420000000000001</v>
      </c>
      <c r="AA3" s="2345">
        <f>ROUND(SUMPRODUCT(PRODUCT(1+P3:P$32)),4)</f>
        <v>1.6415999999999999</v>
      </c>
      <c r="AB3" s="2345">
        <f>ROUND(SUMPRODUCT(PRODUCT(1+Q3:Q$32)),4)</f>
        <v>1.389</v>
      </c>
      <c r="AD3" s="2346">
        <f>ROUND(AVERAGE(I3:I$33)/100,4)</f>
        <v>1.6799999999999999E-2</v>
      </c>
      <c r="AE3" s="2346">
        <f>ROUND(AVERAGE(J3:J$33)/100,4)</f>
        <v>1.0999999999999999E-2</v>
      </c>
      <c r="AF3" s="2346">
        <f t="shared" ref="AF3:AF21" si="1">AE3</f>
        <v>1.0999999999999999E-2</v>
      </c>
      <c r="AG3" s="2346">
        <f>ROUND(AVERAGE(K3:K$33)/100,4)</f>
        <v>1.8499999999999999E-2</v>
      </c>
      <c r="AH3" s="2346">
        <f>ROUND(AVERAGE(L3:L$33)/100,4)</f>
        <v>1.1900000000000001E-2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6">
        <v>2021</v>
      </c>
      <c r="H5" s="2359">
        <v>1</v>
      </c>
      <c r="I5" s="2360">
        <v>0</v>
      </c>
      <c r="J5" s="2360">
        <v>0</v>
      </c>
      <c r="K5" s="2360">
        <v>0</v>
      </c>
      <c r="L5" s="2361">
        <v>0</v>
      </c>
      <c r="N5" s="2363">
        <f t="shared" ref="N5" si="7">I5/100</f>
        <v>0</v>
      </c>
      <c r="O5" s="2363">
        <f t="shared" ref="O5" si="8">J5/100</f>
        <v>0</v>
      </c>
      <c r="P5" s="2363">
        <f t="shared" ref="P5" si="9">K5/100</f>
        <v>0</v>
      </c>
      <c r="Q5" s="2363">
        <f t="shared" ref="Q5" si="10">L5/100</f>
        <v>0</v>
      </c>
      <c r="S5" s="2372">
        <f>B5/B6-1</f>
        <v>0</v>
      </c>
      <c r="T5" s="2373">
        <f>C5/C6-1</f>
        <v>0</v>
      </c>
      <c r="U5" s="2373">
        <f>E5/E6-1</f>
        <v>0</v>
      </c>
      <c r="V5" s="2373">
        <f>F5/F6-1</f>
        <v>0</v>
      </c>
      <c r="W5" s="2364" t="s">
        <v>2703</v>
      </c>
      <c r="X5" s="2365">
        <f>ROUND(SUMPRODUCT(PRODUCT(1+N5:N$32)),4)</f>
        <v>1.571</v>
      </c>
      <c r="Y5" s="2365">
        <f>ROUND(SUMPRODUCT(PRODUCT(1+O5:O$32)),4)</f>
        <v>1.3420000000000001</v>
      </c>
      <c r="Z5" s="2365">
        <f t="shared" ref="Z5" si="11">Y5</f>
        <v>1.3420000000000001</v>
      </c>
      <c r="AA5" s="2365">
        <f>ROUND(SUMPRODUCT(PRODUCT(1+P5:P$32)),4)</f>
        <v>1.6415999999999999</v>
      </c>
      <c r="AB5" s="2365">
        <f>ROUND(SUMPRODUCT(PRODUCT(1+Q5:Q$32)),4)</f>
        <v>1.389</v>
      </c>
      <c r="AD5" s="2366">
        <f>ROUND(AVERAGE(I5:I$33)/100,4)</f>
        <v>1.6799999999999999E-2</v>
      </c>
      <c r="AE5" s="2366">
        <f>ROUND(AVERAGE(J5:J$33)/100,4)</f>
        <v>1.0999999999999999E-2</v>
      </c>
      <c r="AF5" s="2366">
        <f t="shared" ref="AF5" si="12">AE5</f>
        <v>1.0999999999999999E-2</v>
      </c>
      <c r="AG5" s="2366">
        <f>ROUND(AVERAGE(K5:K$33)/100,4)</f>
        <v>1.8499999999999999E-2</v>
      </c>
      <c r="AH5" s="2366">
        <f>ROUND(AVERAGE(L5:L$33)/100,4)</f>
        <v>1.1900000000000001E-2</v>
      </c>
    </row>
    <row r="6" spans="1:34" s="2374" customFormat="1" ht="14.45" customHeight="1">
      <c r="A6" s="2367" t="s">
        <v>2884</v>
      </c>
      <c r="B6" s="2368">
        <f t="shared" ref="B6" si="13">B7*(1+N6)</f>
        <v>483.1434279321756</v>
      </c>
      <c r="C6" s="2368">
        <f t="shared" ref="C6" si="14">C7*(1+O6)</f>
        <v>345.93622669144776</v>
      </c>
      <c r="D6" s="2368">
        <f t="shared" ref="D6" si="15">C6</f>
        <v>345.93622669144776</v>
      </c>
      <c r="E6" s="2368">
        <f t="shared" ref="E6" si="16">E7*(1+P6)</f>
        <v>694.24498562544113</v>
      </c>
      <c r="F6" s="2368">
        <f t="shared" ref="F6" si="17">F7*(1+Q6)</f>
        <v>319.35475932716082</v>
      </c>
      <c r="G6" s="3146">
        <v>2020</v>
      </c>
      <c r="H6" s="2369">
        <v>4</v>
      </c>
      <c r="I6" s="2369">
        <v>0</v>
      </c>
      <c r="J6" s="2369">
        <v>0</v>
      </c>
      <c r="K6" s="2369">
        <v>0</v>
      </c>
      <c r="L6" s="2370">
        <v>0</v>
      </c>
      <c r="M6" s="2371"/>
      <c r="N6" s="2372">
        <f t="shared" ref="N6" si="18">I6/100</f>
        <v>0</v>
      </c>
      <c r="O6" s="2373">
        <f t="shared" ref="O6" si="19">J6/100</f>
        <v>0</v>
      </c>
      <c r="P6" s="2373">
        <f t="shared" ref="P6" si="20">K6/100</f>
        <v>0</v>
      </c>
      <c r="Q6" s="2373">
        <f t="shared" ref="Q6" si="21">L6/100</f>
        <v>0</v>
      </c>
      <c r="R6" s="2371"/>
      <c r="S6" s="2372"/>
      <c r="T6" s="2373"/>
      <c r="U6" s="2373"/>
      <c r="V6" s="2373"/>
      <c r="W6" s="2371"/>
      <c r="X6" s="2371">
        <f>ROUND(SUMPRODUCT(PRODUCT(1+N6:N$32)),4)</f>
        <v>1.571</v>
      </c>
      <c r="Y6" s="2371">
        <f>ROUND(SUMPRODUCT(PRODUCT(1+O6:O$32)),4)</f>
        <v>1.3420000000000001</v>
      </c>
      <c r="Z6" s="2371">
        <f t="shared" ref="Z6" si="22">Y6</f>
        <v>1.3420000000000001</v>
      </c>
      <c r="AA6" s="2371">
        <f>ROUND(SUMPRODUCT(PRODUCT(1+P6:P$32)),4)</f>
        <v>1.6415999999999999</v>
      </c>
      <c r="AB6" s="2371">
        <f>ROUND(SUMPRODUCT(PRODUCT(1+Q6:Q$32)),4)</f>
        <v>1.389</v>
      </c>
      <c r="AC6" s="2371"/>
      <c r="AD6" s="2373">
        <f>ROUND(AVERAGE(I6:I$33)/100,4)</f>
        <v>1.7399999999999999E-2</v>
      </c>
      <c r="AE6" s="2373">
        <f>ROUND(AVERAGE(J6:J$33)/100,4)</f>
        <v>1.14E-2</v>
      </c>
      <c r="AF6" s="2373">
        <f t="shared" ref="AF6" si="23">AE6</f>
        <v>1.14E-2</v>
      </c>
      <c r="AG6" s="2373">
        <f>ROUND(AVERAGE(K6:K$33)/100,4)</f>
        <v>1.9199999999999998E-2</v>
      </c>
      <c r="AH6" s="2373">
        <f>ROUND(AVERAGE(L6:L$33)/100,4)</f>
        <v>1.23E-2</v>
      </c>
    </row>
    <row r="7" spans="1:34" s="2374" customFormat="1" ht="14.45" customHeight="1">
      <c r="A7" s="2367" t="s">
        <v>2882</v>
      </c>
      <c r="B7" s="2368">
        <f t="shared" ref="B7" si="24">B8*(1+N7)</f>
        <v>483.1434279321756</v>
      </c>
      <c r="C7" s="2368">
        <f t="shared" ref="C7" si="25">C8*(1+O7)</f>
        <v>345.93622669144776</v>
      </c>
      <c r="D7" s="2368">
        <f t="shared" ref="D7" si="26">C7</f>
        <v>345.93622669144776</v>
      </c>
      <c r="E7" s="2368">
        <f t="shared" ref="E7" si="27">E8*(1+P7)</f>
        <v>694.24498562544113</v>
      </c>
      <c r="F7" s="2368">
        <f t="shared" ref="F7" si="28">F8*(1+Q7)</f>
        <v>319.35475932716082</v>
      </c>
      <c r="G7" s="3145">
        <v>2020</v>
      </c>
      <c r="H7" s="2369">
        <v>3</v>
      </c>
      <c r="I7" s="2369">
        <v>0.36</v>
      </c>
      <c r="J7" s="2369">
        <v>-0.39</v>
      </c>
      <c r="K7" s="2369">
        <v>0.49</v>
      </c>
      <c r="L7" s="2370">
        <v>7.0000000000000007E-2</v>
      </c>
      <c r="M7" s="2371"/>
      <c r="N7" s="2372">
        <f t="shared" ref="N7" si="29">I7/100</f>
        <v>3.5999999999999999E-3</v>
      </c>
      <c r="O7" s="2373">
        <f t="shared" ref="O7" si="30">J7/100</f>
        <v>-3.9000000000000003E-3</v>
      </c>
      <c r="P7" s="2373">
        <f t="shared" ref="P7" si="31">K7/100</f>
        <v>4.8999999999999998E-3</v>
      </c>
      <c r="Q7" s="2373">
        <f t="shared" ref="Q7" si="32">L7/100</f>
        <v>7.000000000000001E-4</v>
      </c>
      <c r="R7" s="2371"/>
      <c r="S7" s="2372"/>
      <c r="T7" s="2373"/>
      <c r="U7" s="2373"/>
      <c r="V7" s="2373"/>
      <c r="W7" s="2371"/>
      <c r="X7" s="2371">
        <f>ROUND(SUMPRODUCT(PRODUCT(1+N7:N$32)),4)</f>
        <v>1.571</v>
      </c>
      <c r="Y7" s="2371">
        <f>ROUND(SUMPRODUCT(PRODUCT(1+O7:O$32)),4)</f>
        <v>1.3420000000000001</v>
      </c>
      <c r="Z7" s="2371">
        <f t="shared" ref="Z7" si="33">Y7</f>
        <v>1.3420000000000001</v>
      </c>
      <c r="AA7" s="2371">
        <f>ROUND(SUMPRODUCT(PRODUCT(1+P7:P$32)),4)</f>
        <v>1.6415999999999999</v>
      </c>
      <c r="AB7" s="2371">
        <f>ROUND(SUMPRODUCT(PRODUCT(1+Q7:Q$32)),4)</f>
        <v>1.389</v>
      </c>
      <c r="AC7" s="2371"/>
      <c r="AD7" s="2373">
        <f>ROUND(AVERAGE(I7:I$33)/100,4)</f>
        <v>1.8100000000000002E-2</v>
      </c>
      <c r="AE7" s="2373">
        <f>ROUND(AVERAGE(J7:J$33)/100,4)</f>
        <v>1.1900000000000001E-2</v>
      </c>
      <c r="AF7" s="2373">
        <f t="shared" ref="AF7" si="34">AE7</f>
        <v>1.1900000000000001E-2</v>
      </c>
      <c r="AG7" s="2373">
        <f>ROUND(AVERAGE(K7:K$33)/100,4)</f>
        <v>1.9900000000000001E-2</v>
      </c>
      <c r="AH7" s="2373">
        <f>ROUND(AVERAGE(L7:L$33)/100,4)</f>
        <v>1.2800000000000001E-2</v>
      </c>
    </row>
    <row r="8" spans="1:34" s="2374" customFormat="1" ht="14.45" customHeight="1">
      <c r="A8" s="2367" t="s">
        <v>2736</v>
      </c>
      <c r="B8" s="2368">
        <f t="shared" ref="B8" si="35">B9*(1+N8)</f>
        <v>481.4103506697644</v>
      </c>
      <c r="C8" s="2368">
        <f t="shared" ref="C8" si="36">C9*(1+O8)</f>
        <v>347.29066026648707</v>
      </c>
      <c r="D8" s="2368">
        <f t="shared" ref="D8" si="37">C8</f>
        <v>347.29066026648707</v>
      </c>
      <c r="E8" s="2368">
        <f t="shared" ref="E8" si="38">E9*(1+P8)</f>
        <v>690.85977273901995</v>
      </c>
      <c r="F8" s="2368">
        <f t="shared" ref="F8" si="39">F9*(1+Q8)</f>
        <v>319.13136737000184</v>
      </c>
      <c r="G8" s="2358">
        <v>2020</v>
      </c>
      <c r="H8" s="2369">
        <v>2</v>
      </c>
      <c r="I8" s="2369">
        <v>0.31</v>
      </c>
      <c r="J8" s="2369">
        <v>-0.78</v>
      </c>
      <c r="K8" s="2369">
        <v>0.5</v>
      </c>
      <c r="L8" s="2370">
        <v>0.47</v>
      </c>
      <c r="M8" s="2371"/>
      <c r="N8" s="2372">
        <f t="shared" ref="N8" si="40">I8/100</f>
        <v>3.0999999999999999E-3</v>
      </c>
      <c r="O8" s="2373">
        <f t="shared" ref="O8" si="41">J8/100</f>
        <v>-7.8000000000000005E-3</v>
      </c>
      <c r="P8" s="2373">
        <f t="shared" ref="P8" si="42">K8/100</f>
        <v>5.0000000000000001E-3</v>
      </c>
      <c r="Q8" s="2373">
        <f t="shared" ref="Q8" si="43">L8/100</f>
        <v>4.6999999999999993E-3</v>
      </c>
      <c r="R8" s="2371"/>
      <c r="S8" s="2372"/>
      <c r="T8" s="2373"/>
      <c r="U8" s="2373"/>
      <c r="V8" s="2373"/>
      <c r="W8" s="2371"/>
      <c r="X8" s="2371">
        <f>ROUND(SUMPRODUCT(PRODUCT(1+N8:N$32)),4)</f>
        <v>1.5652999999999999</v>
      </c>
      <c r="Y8" s="2371">
        <f>ROUND(SUMPRODUCT(PRODUCT(1+O8:O$32)),4)</f>
        <v>1.3472</v>
      </c>
      <c r="Z8" s="2371">
        <f t="shared" ref="Z8" si="44">Y8</f>
        <v>1.3472</v>
      </c>
      <c r="AA8" s="2371">
        <f>ROUND(SUMPRODUCT(PRODUCT(1+P8:P$32)),4)</f>
        <v>1.6335999999999999</v>
      </c>
      <c r="AB8" s="2371">
        <f>ROUND(SUMPRODUCT(PRODUCT(1+Q8:Q$32)),4)</f>
        <v>1.3880999999999999</v>
      </c>
      <c r="AC8" s="2371"/>
      <c r="AD8" s="2373">
        <f>ROUND(AVERAGE(I8:I$33)/100,4)</f>
        <v>1.8599999999999998E-2</v>
      </c>
      <c r="AE8" s="2373">
        <f>ROUND(AVERAGE(J8:J$33)/100,4)</f>
        <v>1.2500000000000001E-2</v>
      </c>
      <c r="AF8" s="2373">
        <f t="shared" ref="AF8" si="45">AE8</f>
        <v>1.2500000000000001E-2</v>
      </c>
      <c r="AG8" s="2373">
        <f>ROUND(AVERAGE(K8:K$33)/100,4)</f>
        <v>2.0400000000000001E-2</v>
      </c>
      <c r="AH8" s="2373">
        <f>ROUND(AVERAGE(L8:L$33)/100,4)</f>
        <v>1.32E-2</v>
      </c>
    </row>
    <row r="9" spans="1:34" s="2374" customFormat="1" ht="14.45" customHeight="1">
      <c r="A9" s="2367" t="s">
        <v>2733</v>
      </c>
      <c r="B9" s="2368">
        <f t="shared" ref="B9" si="46">B10*(1+N9)</f>
        <v>479.92259063878413</v>
      </c>
      <c r="C9" s="2368">
        <f t="shared" ref="C9" si="47">C10*(1+O9)</f>
        <v>350.02082268341775</v>
      </c>
      <c r="D9" s="2368">
        <f t="shared" ref="D9" si="48">C9</f>
        <v>350.02082268341775</v>
      </c>
      <c r="E9" s="2368">
        <f t="shared" ref="E9" si="49">E10*(1+P9)</f>
        <v>687.42265944181099</v>
      </c>
      <c r="F9" s="2368">
        <f t="shared" ref="F9" si="50">F10*(1+Q9)</f>
        <v>317.63846657708956</v>
      </c>
      <c r="G9" s="2358">
        <v>2020</v>
      </c>
      <c r="H9" s="2369">
        <v>1</v>
      </c>
      <c r="I9" s="2369">
        <v>0.12</v>
      </c>
      <c r="J9" s="2369">
        <v>-0.4</v>
      </c>
      <c r="K9" s="2369">
        <v>0.21</v>
      </c>
      <c r="L9" s="2370">
        <v>0.27</v>
      </c>
      <c r="M9" s="2371"/>
      <c r="N9" s="2372">
        <f t="shared" ref="N9" si="51">I9/100</f>
        <v>1.1999999999999999E-3</v>
      </c>
      <c r="O9" s="2373">
        <f t="shared" ref="O9" si="52">J9/100</f>
        <v>-4.0000000000000001E-3</v>
      </c>
      <c r="P9" s="2373">
        <f t="shared" ref="P9" si="53">K9/100</f>
        <v>2.0999999999999999E-3</v>
      </c>
      <c r="Q9" s="2373">
        <f t="shared" ref="Q9" si="54">L9/100</f>
        <v>2.7000000000000001E-3</v>
      </c>
      <c r="R9" s="2371"/>
      <c r="S9" s="2372">
        <f>B9/B10-1</f>
        <v>1.2000000000000899E-3</v>
      </c>
      <c r="T9" s="2373">
        <f>C9/C10-1</f>
        <v>-4.0000000000000036E-3</v>
      </c>
      <c r="U9" s="2373">
        <f>E9/E10-1</f>
        <v>2.0999999999999908E-3</v>
      </c>
      <c r="V9" s="2373">
        <f>F9/F10-1</f>
        <v>2.6999999999999247E-3</v>
      </c>
      <c r="W9" s="2371"/>
      <c r="X9" s="2371">
        <f>ROUND(SUMPRODUCT(PRODUCT(1+N9:N$32)),4)</f>
        <v>1.5605</v>
      </c>
      <c r="Y9" s="2371">
        <f>ROUND(SUMPRODUCT(PRODUCT(1+O9:O$32)),4)</f>
        <v>1.3577999999999999</v>
      </c>
      <c r="Z9" s="2371">
        <f t="shared" ref="Z9" si="55">Y9</f>
        <v>1.3577999999999999</v>
      </c>
      <c r="AA9" s="2371">
        <f>ROUND(SUMPRODUCT(PRODUCT(1+P9:P$32)),4)</f>
        <v>1.6254999999999999</v>
      </c>
      <c r="AB9" s="2371">
        <f>ROUND(SUMPRODUCT(PRODUCT(1+Q9:Q$32)),4)</f>
        <v>1.3815999999999999</v>
      </c>
      <c r="AC9" s="2371"/>
      <c r="AD9" s="2373">
        <f>ROUND(AVERAGE(I9:I$33)/100,4)</f>
        <v>1.9199999999999998E-2</v>
      </c>
      <c r="AE9" s="2373">
        <f>ROUND(AVERAGE(J9:J$33)/100,4)</f>
        <v>1.3299999999999999E-2</v>
      </c>
      <c r="AF9" s="2373">
        <f t="shared" ref="AF9" si="56">AE9</f>
        <v>1.3299999999999999E-2</v>
      </c>
      <c r="AG9" s="2373">
        <f>ROUND(AVERAGE(K9:K$33)/100,4)</f>
        <v>2.1100000000000001E-2</v>
      </c>
      <c r="AH9" s="2373">
        <f>ROUND(AVERAGE(L9:L$33)/100,4)</f>
        <v>1.3599999999999999E-2</v>
      </c>
    </row>
    <row r="10" spans="1:34" s="2374" customFormat="1" ht="14.45" customHeight="1">
      <c r="A10" s="2367" t="s">
        <v>2731</v>
      </c>
      <c r="B10" s="2368">
        <f t="shared" ref="B10:B15" si="57">B11*(1+N10)</f>
        <v>479.34737379023579</v>
      </c>
      <c r="C10" s="2368">
        <f t="shared" ref="C10" si="58">C11*(1+O10)</f>
        <v>351.4265287986122</v>
      </c>
      <c r="D10" s="2368">
        <f t="shared" ref="D10" si="59">C10</f>
        <v>351.4265287986122</v>
      </c>
      <c r="E10" s="2368">
        <f t="shared" ref="E10" si="60">E11*(1+P10)</f>
        <v>685.98209703803116</v>
      </c>
      <c r="F10" s="2368">
        <f t="shared" ref="F10" si="61">F11*(1+Q10)</f>
        <v>316.78315206651001</v>
      </c>
      <c r="G10" s="2358">
        <v>2019</v>
      </c>
      <c r="H10" s="2369">
        <v>4</v>
      </c>
      <c r="I10" s="2369">
        <v>0.45</v>
      </c>
      <c r="J10" s="2369">
        <v>-0.12</v>
      </c>
      <c r="K10" s="2369">
        <v>0.54</v>
      </c>
      <c r="L10" s="2370">
        <v>0.48</v>
      </c>
      <c r="M10" s="2371"/>
      <c r="N10" s="2372">
        <f t="shared" ref="N10:N15" si="62">I10/100</f>
        <v>4.5000000000000005E-3</v>
      </c>
      <c r="O10" s="2373">
        <f t="shared" ref="O10" si="63">J10/100</f>
        <v>-1.1999999999999999E-3</v>
      </c>
      <c r="P10" s="2373">
        <f t="shared" ref="P10" si="64">K10/100</f>
        <v>5.4000000000000003E-3</v>
      </c>
      <c r="Q10" s="2373">
        <f t="shared" ref="Q10" si="65">L10/100</f>
        <v>4.7999999999999996E-3</v>
      </c>
      <c r="R10" s="2371"/>
      <c r="S10" s="2372"/>
      <c r="T10" s="2373"/>
      <c r="U10" s="2373"/>
      <c r="V10" s="2373"/>
      <c r="W10" s="2371"/>
      <c r="X10" s="2371">
        <f>ROUND(SUMPRODUCT(PRODUCT(1+N10:N$32)),4)</f>
        <v>1.5586</v>
      </c>
      <c r="Y10" s="2371">
        <f>ROUND(SUMPRODUCT(PRODUCT(1+O10:O$32)),4)</f>
        <v>1.3633</v>
      </c>
      <c r="Z10" s="2371">
        <f t="shared" ref="Z10" si="66">Y10</f>
        <v>1.3633</v>
      </c>
      <c r="AA10" s="2371">
        <f>ROUND(SUMPRODUCT(PRODUCT(1+P10:P$32)),4)</f>
        <v>1.6221000000000001</v>
      </c>
      <c r="AB10" s="2371">
        <f>ROUND(SUMPRODUCT(PRODUCT(1+Q10:Q$32)),4)</f>
        <v>1.3777999999999999</v>
      </c>
      <c r="AC10" s="2371"/>
      <c r="AD10" s="2373">
        <f>ROUND(AVERAGE(I10:I$33)/100,4)</f>
        <v>0.02</v>
      </c>
      <c r="AE10" s="2373">
        <f>ROUND(AVERAGE(J10:J$33)/100,4)</f>
        <v>1.4E-2</v>
      </c>
      <c r="AF10" s="2373">
        <f t="shared" ref="AF10" si="67">AE10</f>
        <v>1.4E-2</v>
      </c>
      <c r="AG10" s="2373">
        <f>ROUND(AVERAGE(K10:K$33)/100,4)</f>
        <v>2.1899999999999999E-2</v>
      </c>
      <c r="AH10" s="2373">
        <f>ROUND(AVERAGE(L10:L$33)/100,4)</f>
        <v>1.4E-2</v>
      </c>
    </row>
    <row r="11" spans="1:34" s="2374" customFormat="1" ht="14.45" customHeight="1" thickBot="1">
      <c r="A11" s="2367" t="s">
        <v>2728</v>
      </c>
      <c r="B11" s="2368">
        <f t="shared" si="57"/>
        <v>477.19997390765138</v>
      </c>
      <c r="C11" s="2368">
        <f t="shared" ref="C11" si="68">C12*(1+O11)</f>
        <v>351.84874729536665</v>
      </c>
      <c r="D11" s="2368">
        <f t="shared" ref="D11" si="69">C11</f>
        <v>351.84874729536665</v>
      </c>
      <c r="E11" s="2368">
        <f t="shared" ref="E11" si="70">E12*(1+P11)</f>
        <v>682.29768951465201</v>
      </c>
      <c r="F11" s="2368">
        <f t="shared" ref="F11" si="71">F12*(1+Q11)</f>
        <v>315.26985675409043</v>
      </c>
      <c r="G11" s="2358">
        <v>2019</v>
      </c>
      <c r="H11" s="2369">
        <v>3</v>
      </c>
      <c r="I11" s="2369">
        <v>0.61</v>
      </c>
      <c r="J11" s="2369">
        <v>0.67</v>
      </c>
      <c r="K11" s="2369">
        <v>0.6</v>
      </c>
      <c r="L11" s="2370">
        <v>1.03</v>
      </c>
      <c r="M11" s="2371"/>
      <c r="N11" s="2372">
        <f t="shared" si="62"/>
        <v>6.0999999999999995E-3</v>
      </c>
      <c r="O11" s="2373">
        <f t="shared" ref="O11" si="72">J11/100</f>
        <v>6.7000000000000002E-3</v>
      </c>
      <c r="P11" s="2373">
        <f t="shared" ref="P11" si="73">K11/100</f>
        <v>6.0000000000000001E-3</v>
      </c>
      <c r="Q11" s="2373">
        <f t="shared" ref="Q11" si="74">L11/100</f>
        <v>1.03E-2</v>
      </c>
      <c r="R11" s="2371"/>
      <c r="S11" s="2372"/>
      <c r="T11" s="2373"/>
      <c r="U11" s="2373"/>
      <c r="V11" s="2373"/>
      <c r="W11" s="2371"/>
      <c r="X11" s="2371">
        <f>ROUND(SUMPRODUCT(PRODUCT(1+N11:N$32)),4)</f>
        <v>1.5516000000000001</v>
      </c>
      <c r="Y11" s="2371">
        <f>ROUND(SUMPRODUCT(PRODUCT(1+O11:O$32)),4)</f>
        <v>1.3649</v>
      </c>
      <c r="Z11" s="2371">
        <f t="shared" ref="Z11" si="75">Y11</f>
        <v>1.3649</v>
      </c>
      <c r="AA11" s="2371">
        <f>ROUND(SUMPRODUCT(PRODUCT(1+P11:P$32)),4)</f>
        <v>1.6133999999999999</v>
      </c>
      <c r="AB11" s="2371">
        <f>ROUND(SUMPRODUCT(PRODUCT(1+Q11:Q$32)),4)</f>
        <v>1.3713</v>
      </c>
      <c r="AC11" s="2371"/>
      <c r="AD11" s="2373">
        <f>ROUND(AVERAGE(I11:I$33)/100,4)</f>
        <v>2.07E-2</v>
      </c>
      <c r="AE11" s="2373">
        <f>ROUND(AVERAGE(J11:J$33)/100,4)</f>
        <v>1.47E-2</v>
      </c>
      <c r="AF11" s="2373">
        <f t="shared" ref="AF11" si="76">AE11</f>
        <v>1.47E-2</v>
      </c>
      <c r="AG11" s="2373">
        <f>ROUND(AVERAGE(K11:K$33)/100,4)</f>
        <v>2.2599999999999999E-2</v>
      </c>
      <c r="AH11" s="2373">
        <f>ROUND(AVERAGE(L11:L$33)/100,4)</f>
        <v>1.44E-2</v>
      </c>
    </row>
    <row r="12" spans="1:34" s="2374" customFormat="1" ht="14.45" customHeight="1">
      <c r="A12" s="2367" t="s">
        <v>2722</v>
      </c>
      <c r="B12" s="2368">
        <f t="shared" si="57"/>
        <v>474.30670301923408</v>
      </c>
      <c r="C12" s="2368">
        <f t="shared" ref="C12" si="77">C13*(1+O12)</f>
        <v>349.50705005996491</v>
      </c>
      <c r="D12" s="2368">
        <f t="shared" ref="D12" si="78">C12</f>
        <v>349.50705005996491</v>
      </c>
      <c r="E12" s="2368">
        <f t="shared" ref="E12" si="79">E13*(1+P12)</f>
        <v>678.22831959706957</v>
      </c>
      <c r="F12" s="2368">
        <f t="shared" ref="F12" si="80">F13*(1+Q12)</f>
        <v>312.0556832169558</v>
      </c>
      <c r="G12" s="2358">
        <v>2019</v>
      </c>
      <c r="H12" s="2375">
        <v>2</v>
      </c>
      <c r="I12" s="2375">
        <v>1.53</v>
      </c>
      <c r="J12" s="2375">
        <v>1.01</v>
      </c>
      <c r="K12" s="2375">
        <v>1.62</v>
      </c>
      <c r="L12" s="2376">
        <v>1.25</v>
      </c>
      <c r="M12" s="2371"/>
      <c r="N12" s="2372">
        <f t="shared" si="62"/>
        <v>1.5300000000000001E-2</v>
      </c>
      <c r="O12" s="2373">
        <f t="shared" ref="O12" si="81">J12/100</f>
        <v>1.01E-2</v>
      </c>
      <c r="P12" s="2373">
        <f t="shared" ref="P12" si="82">K12/100</f>
        <v>1.6200000000000003E-2</v>
      </c>
      <c r="Q12" s="2373">
        <f t="shared" ref="Q12" si="83">L12/100</f>
        <v>1.2500000000000001E-2</v>
      </c>
      <c r="R12" s="2371"/>
      <c r="S12" s="2372"/>
      <c r="T12" s="2373"/>
      <c r="U12" s="2373"/>
      <c r="V12" s="2373"/>
      <c r="W12" s="2371"/>
      <c r="X12" s="2371">
        <f>ROUND(SUMPRODUCT(PRODUCT(1+N12:N$32)),4)</f>
        <v>1.5422</v>
      </c>
      <c r="Y12" s="2371">
        <f>ROUND(SUMPRODUCT(PRODUCT(1+O12:O$32)),4)</f>
        <v>1.3557999999999999</v>
      </c>
      <c r="Z12" s="2371">
        <f t="shared" ref="Z12" si="84">Y12</f>
        <v>1.3557999999999999</v>
      </c>
      <c r="AA12" s="2371">
        <f>ROUND(SUMPRODUCT(PRODUCT(1+P12:P$32)),4)</f>
        <v>1.6036999999999999</v>
      </c>
      <c r="AB12" s="2371">
        <f>ROUND(SUMPRODUCT(PRODUCT(1+Q12:Q$32)),4)</f>
        <v>1.3573</v>
      </c>
      <c r="AC12" s="2371"/>
      <c r="AD12" s="2373">
        <f>ROUND(AVERAGE(I12:I$33)/100,4)</f>
        <v>2.1299999999999999E-2</v>
      </c>
      <c r="AE12" s="2373">
        <f>ROUND(AVERAGE(J12:J$33)/100,4)</f>
        <v>1.4999999999999999E-2</v>
      </c>
      <c r="AF12" s="2373">
        <f t="shared" ref="AF12" si="85">AE12</f>
        <v>1.4999999999999999E-2</v>
      </c>
      <c r="AG12" s="2373">
        <f>ROUND(AVERAGE(K12:K$33)/100,4)</f>
        <v>2.3300000000000001E-2</v>
      </c>
      <c r="AH12" s="2373">
        <f>ROUND(AVERAGE(L12:L$33)/100,4)</f>
        <v>1.46E-2</v>
      </c>
    </row>
    <row r="13" spans="1:34" s="2374" customFormat="1" ht="14.45" customHeight="1" thickBot="1">
      <c r="A13" s="2367" t="s">
        <v>2723</v>
      </c>
      <c r="B13" s="2368">
        <f t="shared" si="57"/>
        <v>467.15916775261894</v>
      </c>
      <c r="C13" s="2368">
        <f t="shared" ref="C13" si="86">C14*(1+O13)</f>
        <v>346.01232557169084</v>
      </c>
      <c r="D13" s="2368">
        <f t="shared" ref="D13" si="87">C13</f>
        <v>346.01232557169084</v>
      </c>
      <c r="E13" s="2368">
        <f t="shared" ref="E13" si="88">E14*(1+P13)</f>
        <v>667.41617752122568</v>
      </c>
      <c r="F13" s="2368">
        <f t="shared" ref="F13" si="89">F14*(1+Q13)</f>
        <v>308.20314391798104</v>
      </c>
      <c r="G13" s="2358">
        <v>2019</v>
      </c>
      <c r="H13" s="2369">
        <v>1</v>
      </c>
      <c r="I13" s="2369">
        <v>0.6</v>
      </c>
      <c r="J13" s="2369">
        <v>0.37</v>
      </c>
      <c r="K13" s="2369">
        <v>0.63</v>
      </c>
      <c r="L13" s="2370">
        <v>1.1299999999999999</v>
      </c>
      <c r="M13" s="2371"/>
      <c r="N13" s="2372">
        <f t="shared" si="62"/>
        <v>6.0000000000000001E-3</v>
      </c>
      <c r="O13" s="2373">
        <f t="shared" ref="O13" si="90">J13/100</f>
        <v>3.7000000000000002E-3</v>
      </c>
      <c r="P13" s="2373">
        <f t="shared" ref="P13" si="91">K13/100</f>
        <v>6.3E-3</v>
      </c>
      <c r="Q13" s="2373">
        <f t="shared" ref="Q13" si="92">L13/100</f>
        <v>1.1299999999999999E-2</v>
      </c>
      <c r="R13" s="2371"/>
      <c r="S13" s="2372">
        <f>B13/B14-1</f>
        <v>6.0000000000000053E-3</v>
      </c>
      <c r="T13" s="2373">
        <f>C13/C14-1</f>
        <v>3.7000000000000366E-3</v>
      </c>
      <c r="U13" s="2373">
        <f>E13/E14-1</f>
        <v>6.2999999999999723E-3</v>
      </c>
      <c r="V13" s="2373">
        <f>F13/F14-1</f>
        <v>1.1300000000000088E-2</v>
      </c>
      <c r="W13" s="2371"/>
      <c r="X13" s="2371">
        <f>ROUND(SUMPRODUCT(PRODUCT(1+N13:N$32)),4)</f>
        <v>1.5189999999999999</v>
      </c>
      <c r="Y13" s="2371">
        <f>ROUND(SUMPRODUCT(PRODUCT(1+O13:O$32)),4)</f>
        <v>1.3423</v>
      </c>
      <c r="Z13" s="2371">
        <f t="shared" ref="Z13" si="93">Y13</f>
        <v>1.3423</v>
      </c>
      <c r="AA13" s="2371">
        <f>ROUND(SUMPRODUCT(PRODUCT(1+P13:P$32)),4)</f>
        <v>1.5782</v>
      </c>
      <c r="AB13" s="2371">
        <f>ROUND(SUMPRODUCT(PRODUCT(1+Q13:Q$32)),4)</f>
        <v>1.3405</v>
      </c>
      <c r="AC13" s="2371"/>
      <c r="AD13" s="2373">
        <f>ROUND(AVERAGE(I13:I$33)/100,4)</f>
        <v>2.1600000000000001E-2</v>
      </c>
      <c r="AE13" s="2373">
        <f>ROUND(AVERAGE(J13:J$33)/100,4)</f>
        <v>1.5299999999999999E-2</v>
      </c>
      <c r="AF13" s="2373">
        <f t="shared" ref="AF13" si="94">AE13</f>
        <v>1.5299999999999999E-2</v>
      </c>
      <c r="AG13" s="2373">
        <f>ROUND(AVERAGE(K13:K$33)/100,4)</f>
        <v>2.3699999999999999E-2</v>
      </c>
      <c r="AH13" s="2373">
        <f>ROUND(AVERAGE(L13:L$33)/100,4)</f>
        <v>1.47E-2</v>
      </c>
    </row>
    <row r="14" spans="1:34">
      <c r="A14" s="2367" t="s">
        <v>2717</v>
      </c>
      <c r="B14" s="2377">
        <f t="shared" si="57"/>
        <v>464.37293017158942</v>
      </c>
      <c r="C14" s="2377">
        <f t="shared" ref="C14" si="95">C15*(1+O14)</f>
        <v>344.73679941385956</v>
      </c>
      <c r="D14" s="2377">
        <f t="shared" ref="D14" si="96">C14</f>
        <v>344.73679941385956</v>
      </c>
      <c r="E14" s="2377">
        <f t="shared" ref="E14" si="97">E15*(1+P14)</f>
        <v>663.2377795103107</v>
      </c>
      <c r="F14" s="2378">
        <f t="shared" ref="F14" si="98">F15*(1+Q14)</f>
        <v>304.75936311478398</v>
      </c>
      <c r="G14" s="3823">
        <v>2018</v>
      </c>
      <c r="H14" s="2375">
        <v>4</v>
      </c>
      <c r="I14" s="2375">
        <v>0.96</v>
      </c>
      <c r="J14" s="2375">
        <v>1.03</v>
      </c>
      <c r="K14" s="2375">
        <v>0.92</v>
      </c>
      <c r="L14" s="2376">
        <v>1.29</v>
      </c>
      <c r="N14" s="2379">
        <f t="shared" si="62"/>
        <v>9.5999999999999992E-3</v>
      </c>
      <c r="O14" s="2380">
        <f t="shared" ref="O14" si="99">J14/100</f>
        <v>1.03E-2</v>
      </c>
      <c r="P14" s="2380">
        <f t="shared" ref="P14" si="100">K14/100</f>
        <v>9.1999999999999998E-3</v>
      </c>
      <c r="Q14" s="2380">
        <f t="shared" ref="Q14" si="101">L14/100</f>
        <v>1.29E-2</v>
      </c>
      <c r="R14" s="2381"/>
      <c r="S14" s="2382"/>
      <c r="T14" s="2383"/>
      <c r="U14" s="2383"/>
      <c r="V14" s="2383"/>
      <c r="X14" s="2353">
        <f>ROUND(SUMPRODUCT(PRODUCT(1+N14:N$32)),4)</f>
        <v>1.5099</v>
      </c>
      <c r="Y14" s="2353">
        <f>ROUND(SUMPRODUCT(PRODUCT(1+O14:O$32)),4)</f>
        <v>1.3372999999999999</v>
      </c>
      <c r="Z14" s="2353">
        <f t="shared" ref="Z14" si="102">Y14</f>
        <v>1.3372999999999999</v>
      </c>
      <c r="AA14" s="2353">
        <f>ROUND(SUMPRODUCT(PRODUCT(1+P14:P$32)),4)</f>
        <v>1.5683</v>
      </c>
      <c r="AB14" s="2353">
        <f>ROUND(SUMPRODUCT(PRODUCT(1+Q14:Q$32)),4)</f>
        <v>1.3255999999999999</v>
      </c>
      <c r="AD14" s="2354">
        <f>ROUND(AVERAGE(I14:I$33)/100,4)</f>
        <v>2.24E-2</v>
      </c>
      <c r="AE14" s="2354">
        <f>ROUND(AVERAGE(J14:J$33)/100,4)</f>
        <v>1.5800000000000002E-2</v>
      </c>
      <c r="AF14" s="2354">
        <f t="shared" ref="AF14" si="103">AE14</f>
        <v>1.5800000000000002E-2</v>
      </c>
      <c r="AG14" s="2354">
        <f>ROUND(AVERAGE(K14:K$33)/100,4)</f>
        <v>2.4500000000000001E-2</v>
      </c>
      <c r="AH14" s="2354">
        <f>ROUND(AVERAGE(L14:L$33)/100,4)</f>
        <v>1.49E-2</v>
      </c>
    </row>
    <row r="15" spans="1:34" s="2386" customFormat="1" ht="14.45" customHeight="1">
      <c r="A15" s="2367" t="s">
        <v>2712</v>
      </c>
      <c r="B15" s="2384">
        <f t="shared" si="57"/>
        <v>459.95733971036987</v>
      </c>
      <c r="C15" s="2384">
        <f t="shared" ref="C15" si="104">C16*(1+O15)</f>
        <v>341.22221064422405</v>
      </c>
      <c r="D15" s="2384">
        <f t="shared" ref="D15" si="105">C15</f>
        <v>341.22221064422405</v>
      </c>
      <c r="E15" s="2384">
        <f t="shared" ref="E15" si="106">E16*(1+P15)</f>
        <v>657.19161663724799</v>
      </c>
      <c r="F15" s="2384">
        <f t="shared" ref="F15" si="107">F16*(1+Q15)</f>
        <v>300.87803644464805</v>
      </c>
      <c r="G15" s="3823"/>
      <c r="H15" s="2369">
        <v>3</v>
      </c>
      <c r="I15" s="2369">
        <v>1.51</v>
      </c>
      <c r="J15" s="2369">
        <v>1.41</v>
      </c>
      <c r="K15" s="2369">
        <v>1.52</v>
      </c>
      <c r="L15" s="2370">
        <v>1.74</v>
      </c>
      <c r="M15" s="2353"/>
      <c r="N15" s="2385">
        <f t="shared" si="62"/>
        <v>1.5100000000000001E-2</v>
      </c>
      <c r="O15" s="2354">
        <f t="shared" ref="O15" si="108">J15/100</f>
        <v>1.41E-2</v>
      </c>
      <c r="P15" s="2354">
        <f t="shared" ref="P15" si="109">K15/100</f>
        <v>1.52E-2</v>
      </c>
      <c r="Q15" s="2354">
        <f t="shared" ref="Q15" si="110">L15/100</f>
        <v>1.7399999999999999E-2</v>
      </c>
      <c r="R15" s="2353"/>
      <c r="S15" s="2385"/>
      <c r="T15" s="2354"/>
      <c r="U15" s="2354"/>
      <c r="V15" s="2354"/>
      <c r="W15" s="2353"/>
      <c r="X15" s="2353">
        <f>ROUND(SUMPRODUCT(PRODUCT(1+N15:N$32)),4)</f>
        <v>1.4956</v>
      </c>
      <c r="Y15" s="2353">
        <f>ROUND(SUMPRODUCT(PRODUCT(1+O15:O$32)),4)</f>
        <v>1.3237000000000001</v>
      </c>
      <c r="Z15" s="2353">
        <f t="shared" ref="Z15" si="111">Y15</f>
        <v>1.3237000000000001</v>
      </c>
      <c r="AA15" s="2353">
        <f>ROUND(SUMPRODUCT(PRODUCT(1+P15:P$32)),4)</f>
        <v>1.554</v>
      </c>
      <c r="AB15" s="2353">
        <f>ROUND(SUMPRODUCT(PRODUCT(1+Q15:Q$32)),4)</f>
        <v>1.3087</v>
      </c>
      <c r="AC15" s="2353"/>
      <c r="AD15" s="2354">
        <f>ROUND(AVERAGE(I15:I$33)/100,4)</f>
        <v>2.3099999999999999E-2</v>
      </c>
      <c r="AE15" s="2354">
        <f>ROUND(AVERAGE(J15:J$33)/100,4)</f>
        <v>1.61E-2</v>
      </c>
      <c r="AF15" s="2354">
        <f t="shared" ref="AF15" si="112">AE15</f>
        <v>1.61E-2</v>
      </c>
      <c r="AG15" s="2354">
        <f>ROUND(AVERAGE(K15:K$33)/100,4)</f>
        <v>2.53E-2</v>
      </c>
      <c r="AH15" s="2354">
        <f>ROUND(AVERAGE(L15:L$33)/100,4)</f>
        <v>1.4999999999999999E-2</v>
      </c>
    </row>
    <row r="16" spans="1:34" s="2386" customFormat="1" ht="14.45" customHeight="1">
      <c r="A16" s="2367" t="s">
        <v>2711</v>
      </c>
      <c r="B16" s="2384">
        <f t="shared" ref="B16:B21" si="113">B17*(1+N16)</f>
        <v>453.11529869999993</v>
      </c>
      <c r="C16" s="2384">
        <f t="shared" ref="C16" si="114">C17*(1+O16)</f>
        <v>336.47787264000004</v>
      </c>
      <c r="D16" s="2384">
        <f t="shared" ref="D16" si="115">C16</f>
        <v>336.47787264000004</v>
      </c>
      <c r="E16" s="2384">
        <f t="shared" ref="E16" si="116">E17*(1+P16)</f>
        <v>647.35186823999993</v>
      </c>
      <c r="F16" s="2384">
        <f t="shared" ref="F16" si="117">F17*(1+Q16)</f>
        <v>295.73229452000004</v>
      </c>
      <c r="G16" s="3823"/>
      <c r="H16" s="2387">
        <v>2</v>
      </c>
      <c r="I16" s="2387">
        <v>1.49</v>
      </c>
      <c r="J16" s="2387">
        <v>0.96</v>
      </c>
      <c r="K16" s="2387">
        <v>1.58</v>
      </c>
      <c r="L16" s="2388">
        <v>2.44</v>
      </c>
      <c r="M16" s="2353"/>
      <c r="N16" s="2385">
        <f t="shared" ref="N16" si="118">I16/100</f>
        <v>1.49E-2</v>
      </c>
      <c r="O16" s="2354">
        <f t="shared" ref="O16" si="119">J16/100</f>
        <v>9.5999999999999992E-3</v>
      </c>
      <c r="P16" s="2354">
        <f t="shared" ref="P16" si="120">K16/100</f>
        <v>1.5800000000000002E-2</v>
      </c>
      <c r="Q16" s="2354">
        <f t="shared" ref="Q16" si="121">L16/100</f>
        <v>2.4399999999999998E-2</v>
      </c>
      <c r="R16" s="2353"/>
      <c r="S16" s="2385"/>
      <c r="T16" s="2354"/>
      <c r="U16" s="2354"/>
      <c r="V16" s="2354"/>
      <c r="W16" s="2353"/>
      <c r="X16" s="2353">
        <f>ROUND(SUMPRODUCT(PRODUCT(1+N16:N$32)),4)</f>
        <v>1.4733000000000001</v>
      </c>
      <c r="Y16" s="2353">
        <f>ROUND(SUMPRODUCT(PRODUCT(1+O16:O$32)),4)</f>
        <v>1.3052999999999999</v>
      </c>
      <c r="Z16" s="2353">
        <f t="shared" ref="Z16" si="122">Y16</f>
        <v>1.3052999999999999</v>
      </c>
      <c r="AA16" s="2353">
        <f>ROUND(SUMPRODUCT(PRODUCT(1+P16:P$32)),4)</f>
        <v>1.5306999999999999</v>
      </c>
      <c r="AB16" s="2353">
        <f>ROUND(SUMPRODUCT(PRODUCT(1+Q16:Q$32)),4)</f>
        <v>1.2863</v>
      </c>
      <c r="AC16" s="2353"/>
      <c r="AD16" s="2354">
        <f>ROUND(AVERAGE(I16:I$33)/100,4)</f>
        <v>2.35E-2</v>
      </c>
      <c r="AE16" s="2354">
        <f>ROUND(AVERAGE(J16:J$33)/100,4)</f>
        <v>1.6199999999999999E-2</v>
      </c>
      <c r="AF16" s="2354">
        <f t="shared" ref="AF16" si="123">AE16</f>
        <v>1.6199999999999999E-2</v>
      </c>
      <c r="AG16" s="2354">
        <f>ROUND(AVERAGE(K16:K$33)/100,4)</f>
        <v>2.5899999999999999E-2</v>
      </c>
      <c r="AH16" s="2354">
        <f>ROUND(AVERAGE(L16:L$33)/100,4)</f>
        <v>1.49E-2</v>
      </c>
    </row>
    <row r="17" spans="1:34" s="2386" customFormat="1" ht="15" customHeight="1" thickBot="1">
      <c r="A17" s="2367" t="s">
        <v>2708</v>
      </c>
      <c r="B17" s="2384">
        <f t="shared" si="113"/>
        <v>446.46299999999997</v>
      </c>
      <c r="C17" s="2384">
        <f t="shared" ref="C17" si="124">C18*(1+O17)</f>
        <v>333.27840000000003</v>
      </c>
      <c r="D17" s="2384">
        <f t="shared" ref="D17:D22" si="125">C17</f>
        <v>333.27840000000003</v>
      </c>
      <c r="E17" s="2384">
        <f t="shared" ref="E17" si="126">E18*(1+P17)</f>
        <v>637.28279999999995</v>
      </c>
      <c r="F17" s="2384">
        <f t="shared" ref="F17" si="127">F18*(1+Q17)</f>
        <v>288.68830000000003</v>
      </c>
      <c r="G17" s="3830"/>
      <c r="H17" s="2369">
        <v>1</v>
      </c>
      <c r="I17" s="2369">
        <v>1.7</v>
      </c>
      <c r="J17" s="2369">
        <v>1.92</v>
      </c>
      <c r="K17" s="2369">
        <v>1.64</v>
      </c>
      <c r="L17" s="2370">
        <v>2.0099999999999998</v>
      </c>
      <c r="M17" s="2353"/>
      <c r="N17" s="2385">
        <f t="shared" ref="N17:N22" si="128">I17/100</f>
        <v>1.7000000000000001E-2</v>
      </c>
      <c r="O17" s="2354">
        <f t="shared" ref="O17" si="129">J17/100</f>
        <v>1.9199999999999998E-2</v>
      </c>
      <c r="P17" s="2354">
        <f t="shared" ref="P17" si="130">K17/100</f>
        <v>1.6399999999999998E-2</v>
      </c>
      <c r="Q17" s="2354">
        <f t="shared" ref="Q17" si="131">L17/100</f>
        <v>2.0099999999999996E-2</v>
      </c>
      <c r="R17" s="2353"/>
      <c r="S17" s="2389">
        <f>B17/B18-1</f>
        <v>1.6999999999999904E-2</v>
      </c>
      <c r="T17" s="2390">
        <f>C17/C18-1</f>
        <v>1.9200000000000106E-2</v>
      </c>
      <c r="U17" s="2390">
        <f>E17/E18-1</f>
        <v>1.639999999999997E-2</v>
      </c>
      <c r="V17" s="2390">
        <f>F17/F18-1</f>
        <v>2.0100000000000007E-2</v>
      </c>
      <c r="W17" s="2353"/>
      <c r="X17" s="2353">
        <f>ROUND(SUMPRODUCT(PRODUCT(1+N17:N$32)),4)</f>
        <v>1.4517</v>
      </c>
      <c r="Y17" s="2353">
        <f>ROUND(SUMPRODUCT(PRODUCT(1+O17:O$32)),4)</f>
        <v>1.2928999999999999</v>
      </c>
      <c r="Z17" s="2353">
        <f t="shared" ref="Z17" si="132">Y17</f>
        <v>1.2928999999999999</v>
      </c>
      <c r="AA17" s="2353">
        <f>ROUND(SUMPRODUCT(PRODUCT(1+P17:P$32)),4)</f>
        <v>1.5068999999999999</v>
      </c>
      <c r="AB17" s="2353">
        <f>ROUND(SUMPRODUCT(PRODUCT(1+Q17:Q$32)),4)</f>
        <v>1.2557</v>
      </c>
      <c r="AC17" s="2353"/>
      <c r="AD17" s="2354">
        <f>ROUND(AVERAGE(I17:I$33)/100,4)</f>
        <v>2.4E-2</v>
      </c>
      <c r="AE17" s="2354">
        <f>ROUND(AVERAGE(J17:J$33)/100,4)</f>
        <v>1.66E-2</v>
      </c>
      <c r="AF17" s="2354">
        <f t="shared" ref="AF17" si="133">AE17</f>
        <v>1.66E-2</v>
      </c>
      <c r="AG17" s="2354">
        <f>ROUND(AVERAGE(K17:K$33)/100,4)</f>
        <v>2.6499999999999999E-2</v>
      </c>
      <c r="AH17" s="2354">
        <f>ROUND(AVERAGE(L17:L$33)/100,4)</f>
        <v>1.43E-2</v>
      </c>
    </row>
    <row r="18" spans="1:34">
      <c r="A18" s="2367" t="s">
        <v>2705</v>
      </c>
      <c r="B18" s="2377">
        <v>439</v>
      </c>
      <c r="C18" s="2377">
        <v>327</v>
      </c>
      <c r="D18" s="2377">
        <f t="shared" si="125"/>
        <v>327</v>
      </c>
      <c r="E18" s="2377">
        <v>627</v>
      </c>
      <c r="F18" s="2378">
        <v>283</v>
      </c>
      <c r="G18" s="3826">
        <v>2017</v>
      </c>
      <c r="H18" s="2375">
        <v>4</v>
      </c>
      <c r="I18" s="2375">
        <v>1.71</v>
      </c>
      <c r="J18" s="2375">
        <v>1.78</v>
      </c>
      <c r="K18" s="2375">
        <v>1.71</v>
      </c>
      <c r="L18" s="2376">
        <v>1.43</v>
      </c>
      <c r="N18" s="2379">
        <f t="shared" si="128"/>
        <v>1.7100000000000001E-2</v>
      </c>
      <c r="O18" s="2380">
        <f t="shared" ref="O18" si="134">J18/100</f>
        <v>1.78E-2</v>
      </c>
      <c r="P18" s="2380">
        <f t="shared" ref="P18" si="135">K18/100</f>
        <v>1.7100000000000001E-2</v>
      </c>
      <c r="Q18" s="2380">
        <f t="shared" ref="Q18" si="136">L18/100</f>
        <v>1.43E-2</v>
      </c>
      <c r="R18" s="2381"/>
      <c r="S18" s="2382"/>
      <c r="T18" s="2383"/>
      <c r="U18" s="2383"/>
      <c r="V18" s="2383"/>
      <c r="X18" s="2353">
        <f>ROUND(SUMPRODUCT(PRODUCT(1+N18:N$32)),4)</f>
        <v>1.4274</v>
      </c>
      <c r="Y18" s="2353">
        <f>ROUND(SUMPRODUCT(PRODUCT(1+O18:O$32)),4)</f>
        <v>1.2685</v>
      </c>
      <c r="Z18" s="2353">
        <f t="shared" si="0"/>
        <v>1.2685</v>
      </c>
      <c r="AA18" s="2353">
        <f>ROUND(SUMPRODUCT(PRODUCT(1+P18:P$32)),4)</f>
        <v>1.4825999999999999</v>
      </c>
      <c r="AB18" s="2353">
        <f>ROUND(SUMPRODUCT(PRODUCT(1+Q18:Q$32)),4)</f>
        <v>1.2309000000000001</v>
      </c>
      <c r="AD18" s="2354">
        <f>ROUND(AVERAGE(I18:I$33)/100,4)</f>
        <v>2.4500000000000001E-2</v>
      </c>
      <c r="AE18" s="2354">
        <f>ROUND(AVERAGE(J18:J$33)/100,4)</f>
        <v>1.6500000000000001E-2</v>
      </c>
      <c r="AF18" s="2354">
        <f t="shared" si="1"/>
        <v>1.6500000000000001E-2</v>
      </c>
      <c r="AG18" s="2354">
        <f>ROUND(AVERAGE(K18:K$33)/100,4)</f>
        <v>2.7099999999999999E-2</v>
      </c>
      <c r="AH18" s="2354">
        <f>ROUND(AVERAGE(L18:L$33)/100,4)</f>
        <v>1.3899999999999999E-2</v>
      </c>
    </row>
    <row r="19" spans="1:34" s="2386" customFormat="1" ht="14.45" customHeight="1">
      <c r="A19" s="2367" t="s">
        <v>2702</v>
      </c>
      <c r="B19" s="2384">
        <f t="shared" si="113"/>
        <v>431.80730811680002</v>
      </c>
      <c r="C19" s="2384">
        <f t="shared" ref="C19" si="137">C20*(1+O19)</f>
        <v>320.57880516480003</v>
      </c>
      <c r="D19" s="2384">
        <f t="shared" si="125"/>
        <v>320.57880516480003</v>
      </c>
      <c r="E19" s="2384">
        <f t="shared" ref="E19:F21" si="138">E20*(1+P19)</f>
        <v>615.96110553196797</v>
      </c>
      <c r="F19" s="2384">
        <f t="shared" si="138"/>
        <v>279.46777300108801</v>
      </c>
      <c r="G19" s="3823"/>
      <c r="H19" s="2369">
        <v>3</v>
      </c>
      <c r="I19" s="2369">
        <v>2.98</v>
      </c>
      <c r="J19" s="2369">
        <v>2.11</v>
      </c>
      <c r="K19" s="2369">
        <v>3.24</v>
      </c>
      <c r="L19" s="2370">
        <v>1.72</v>
      </c>
      <c r="M19" s="2353"/>
      <c r="N19" s="2385">
        <f t="shared" si="128"/>
        <v>2.98E-2</v>
      </c>
      <c r="O19" s="2391">
        <f t="shared" ref="O19" si="139">J19/100</f>
        <v>2.1099999999999997E-2</v>
      </c>
      <c r="P19" s="2391">
        <f t="shared" ref="P19" si="140">K19/100</f>
        <v>3.2400000000000005E-2</v>
      </c>
      <c r="Q19" s="2391">
        <f t="shared" ref="Q19" si="141">L19/100</f>
        <v>1.72E-2</v>
      </c>
      <c r="R19" s="2353"/>
      <c r="S19" s="2385"/>
      <c r="T19" s="2354"/>
      <c r="U19" s="2354"/>
      <c r="V19" s="2354"/>
      <c r="W19" s="2353"/>
      <c r="X19" s="2353">
        <f>ROUND(SUMPRODUCT(PRODUCT(1+N19:N$32)),4)</f>
        <v>1.4034</v>
      </c>
      <c r="Y19" s="2353">
        <f>ROUND(SUMPRODUCT(PRODUCT(1+O19:O$32)),4)</f>
        <v>1.2463</v>
      </c>
      <c r="Z19" s="2353">
        <f t="shared" si="0"/>
        <v>1.2463</v>
      </c>
      <c r="AA19" s="2353">
        <f>ROUND(SUMPRODUCT(PRODUCT(1+P19:P$32)),4)</f>
        <v>1.4577</v>
      </c>
      <c r="AB19" s="2353">
        <f>ROUND(SUMPRODUCT(PRODUCT(1+Q19:Q$32)),4)</f>
        <v>1.2136</v>
      </c>
      <c r="AC19" s="2353"/>
      <c r="AD19" s="2354">
        <f>ROUND(AVERAGE(I19:I$33)/100,4)</f>
        <v>2.4899999999999999E-2</v>
      </c>
      <c r="AE19" s="2354">
        <f>ROUND(AVERAGE(J19:J$33)/100,4)</f>
        <v>1.6400000000000001E-2</v>
      </c>
      <c r="AF19" s="2354">
        <f t="shared" si="1"/>
        <v>1.6400000000000001E-2</v>
      </c>
      <c r="AG19" s="2354">
        <f>ROUND(AVERAGE(K19:K$33)/100,4)</f>
        <v>2.7799999999999998E-2</v>
      </c>
      <c r="AH19" s="2354">
        <f>ROUND(AVERAGE(L19:L$33)/100,4)</f>
        <v>1.3899999999999999E-2</v>
      </c>
    </row>
    <row r="20" spans="1:34" s="2362" customFormat="1" ht="14.45" customHeight="1">
      <c r="A20" s="2367" t="s">
        <v>1245</v>
      </c>
      <c r="B20" s="2384">
        <f t="shared" si="113"/>
        <v>419.31181600000002</v>
      </c>
      <c r="C20" s="2384">
        <f t="shared" ref="C20" si="142">C21*(1+O20)</f>
        <v>313.95436800000004</v>
      </c>
      <c r="D20" s="2384">
        <f t="shared" si="125"/>
        <v>313.95436800000004</v>
      </c>
      <c r="E20" s="2384">
        <f t="shared" si="138"/>
        <v>596.63028431999999</v>
      </c>
      <c r="F20" s="2384">
        <f t="shared" si="138"/>
        <v>274.74220703999998</v>
      </c>
      <c r="G20" s="3823"/>
      <c r="H20" s="2387">
        <v>2</v>
      </c>
      <c r="I20" s="2387">
        <v>3.4</v>
      </c>
      <c r="J20" s="2387">
        <v>2</v>
      </c>
      <c r="K20" s="2387">
        <v>3.82</v>
      </c>
      <c r="L20" s="2388">
        <v>1.68</v>
      </c>
      <c r="M20" s="2353"/>
      <c r="N20" s="2385">
        <f t="shared" si="128"/>
        <v>3.4000000000000002E-2</v>
      </c>
      <c r="O20" s="2391">
        <f t="shared" ref="O20" si="143">J20/100</f>
        <v>0.02</v>
      </c>
      <c r="P20" s="2391">
        <f t="shared" ref="P20" si="144">K20/100</f>
        <v>3.8199999999999998E-2</v>
      </c>
      <c r="Q20" s="2391">
        <f t="shared" ref="Q20" si="145">L20/100</f>
        <v>1.6799999999999999E-2</v>
      </c>
      <c r="R20" s="2353"/>
      <c r="S20" s="2385"/>
      <c r="T20" s="2354"/>
      <c r="U20" s="2354"/>
      <c r="V20" s="2354"/>
      <c r="W20" s="2353"/>
      <c r="X20" s="2392">
        <f>ROUND(SUMPRODUCT(PRODUCT(1+N20:N$32)),4)</f>
        <v>1.3628</v>
      </c>
      <c r="Y20" s="2392">
        <f>ROUND(SUMPRODUCT(PRODUCT(1+O20:O$32)),4)</f>
        <v>1.2205999999999999</v>
      </c>
      <c r="Z20" s="2392">
        <f t="shared" si="0"/>
        <v>1.2205999999999999</v>
      </c>
      <c r="AA20" s="2392">
        <f>ROUND(SUMPRODUCT(PRODUCT(1+P20:P$32)),4)</f>
        <v>1.4118999999999999</v>
      </c>
      <c r="AB20" s="2392">
        <f>ROUND(SUMPRODUCT(PRODUCT(1+Q20:Q$32)),4)</f>
        <v>1.1930000000000001</v>
      </c>
      <c r="AC20" s="2347"/>
      <c r="AD20" s="2393">
        <f>ROUND(AVERAGE(I20:I$33)/100,4)</f>
        <v>2.46E-2</v>
      </c>
      <c r="AE20" s="2393">
        <f>ROUND(AVERAGE(J20:J$33)/100,4)</f>
        <v>1.6E-2</v>
      </c>
      <c r="AF20" s="2393">
        <f t="shared" si="1"/>
        <v>1.6E-2</v>
      </c>
      <c r="AG20" s="2393">
        <f>ROUND(AVERAGE(K20:K$33)/100,4)</f>
        <v>2.75E-2</v>
      </c>
      <c r="AH20" s="2393">
        <f>ROUND(AVERAGE(L20:L$33)/100,4)</f>
        <v>1.37E-2</v>
      </c>
    </row>
    <row r="21" spans="1:34" s="2386" customFormat="1" ht="15" customHeight="1" thickBot="1">
      <c r="A21" s="2367" t="s">
        <v>1036</v>
      </c>
      <c r="B21" s="2384">
        <f t="shared" si="113"/>
        <v>405.524</v>
      </c>
      <c r="C21" s="2384">
        <f t="shared" ref="C21" si="146">C22*(1+O21)</f>
        <v>307.79840000000002</v>
      </c>
      <c r="D21" s="2384">
        <f t="shared" si="125"/>
        <v>307.79840000000002</v>
      </c>
      <c r="E21" s="2384">
        <f t="shared" si="138"/>
        <v>574.67759999999998</v>
      </c>
      <c r="F21" s="2384">
        <f t="shared" si="138"/>
        <v>270.20280000000002</v>
      </c>
      <c r="G21" s="3830"/>
      <c r="H21" s="2369">
        <v>1</v>
      </c>
      <c r="I21" s="2369">
        <v>3.45</v>
      </c>
      <c r="J21" s="2369">
        <v>1.92</v>
      </c>
      <c r="K21" s="2369">
        <v>3.92</v>
      </c>
      <c r="L21" s="2370">
        <v>1.58</v>
      </c>
      <c r="M21" s="2353"/>
      <c r="N21" s="2389">
        <f t="shared" si="128"/>
        <v>3.4500000000000003E-2</v>
      </c>
      <c r="O21" s="2390">
        <f t="shared" ref="O21:Q36" si="147">J21/100</f>
        <v>1.9199999999999998E-2</v>
      </c>
      <c r="P21" s="2390">
        <f t="shared" si="147"/>
        <v>3.9199999999999999E-2</v>
      </c>
      <c r="Q21" s="2390">
        <f t="shared" si="147"/>
        <v>1.5800000000000002E-2</v>
      </c>
      <c r="R21" s="2353"/>
      <c r="S21" s="2389">
        <f>B21/B22-1</f>
        <v>3.4499999999999975E-2</v>
      </c>
      <c r="T21" s="2390">
        <f>C21/C22-1</f>
        <v>1.9200000000000106E-2</v>
      </c>
      <c r="U21" s="2390">
        <f>E21/E22-1</f>
        <v>3.9199999999999902E-2</v>
      </c>
      <c r="V21" s="2390">
        <f>F21/F22-1</f>
        <v>1.5800000000000036E-2</v>
      </c>
      <c r="W21" s="2353"/>
      <c r="X21" s="2353">
        <f>ROUND(SUMPRODUCT(PRODUCT(1+N21:N$32)),4)</f>
        <v>1.3180000000000001</v>
      </c>
      <c r="Y21" s="2353">
        <f>ROUND(SUMPRODUCT(PRODUCT(1+O21:O$32)),4)</f>
        <v>1.1966000000000001</v>
      </c>
      <c r="Z21" s="2353">
        <f t="shared" si="0"/>
        <v>1.1966000000000001</v>
      </c>
      <c r="AA21" s="2353">
        <f>ROUND(SUMPRODUCT(PRODUCT(1+P21:P$32)),4)</f>
        <v>1.36</v>
      </c>
      <c r="AB21" s="2353">
        <f>ROUND(SUMPRODUCT(PRODUCT(1+Q21:Q$32)),4)</f>
        <v>1.1733</v>
      </c>
      <c r="AC21" s="2353"/>
      <c r="AD21" s="2354">
        <f>ROUND(AVERAGE(I21:I$33)/100,4)</f>
        <v>2.3900000000000001E-2</v>
      </c>
      <c r="AE21" s="2354">
        <f>ROUND(AVERAGE(J21:J$33)/100,4)</f>
        <v>1.5699999999999999E-2</v>
      </c>
      <c r="AF21" s="2354">
        <f t="shared" si="1"/>
        <v>1.5699999999999999E-2</v>
      </c>
      <c r="AG21" s="2354">
        <f>ROUND(AVERAGE(K21:K$33)/100,4)</f>
        <v>2.6599999999999999E-2</v>
      </c>
      <c r="AH21" s="2354">
        <f>ROUND(AVERAGE(L21:L$33)/100,4)</f>
        <v>1.34E-2</v>
      </c>
    </row>
    <row r="22" spans="1:34">
      <c r="A22" s="2367" t="s">
        <v>1037</v>
      </c>
      <c r="B22" s="2377">
        <v>392</v>
      </c>
      <c r="C22" s="2377">
        <v>302</v>
      </c>
      <c r="D22" s="2377">
        <f t="shared" si="125"/>
        <v>302</v>
      </c>
      <c r="E22" s="2377">
        <v>553</v>
      </c>
      <c r="F22" s="2378">
        <v>266</v>
      </c>
      <c r="G22" s="3826">
        <v>2016</v>
      </c>
      <c r="H22" s="2375">
        <v>4</v>
      </c>
      <c r="I22" s="2375">
        <v>4.5599999999999996</v>
      </c>
      <c r="J22" s="2375">
        <v>2.15</v>
      </c>
      <c r="K22" s="2375">
        <v>5.32</v>
      </c>
      <c r="L22" s="2376">
        <v>1.57</v>
      </c>
      <c r="N22" s="2385">
        <f t="shared" si="128"/>
        <v>4.5599999999999995E-2</v>
      </c>
      <c r="O22" s="2354">
        <f t="shared" si="147"/>
        <v>2.1499999999999998E-2</v>
      </c>
      <c r="P22" s="2354">
        <f t="shared" si="147"/>
        <v>5.3200000000000004E-2</v>
      </c>
      <c r="Q22" s="2354">
        <f t="shared" si="147"/>
        <v>1.5700000000000002E-2</v>
      </c>
      <c r="R22" s="2381"/>
      <c r="S22" s="2382"/>
      <c r="T22" s="2383"/>
      <c r="U22" s="2383"/>
      <c r="V22" s="2383"/>
      <c r="X22" s="2353">
        <f>ROUND(SUMPRODUCT(PRODUCT(1+N22:N$32)),4)</f>
        <v>1.274</v>
      </c>
      <c r="Y22" s="2353">
        <f>ROUND(SUMPRODUCT(PRODUCT(1+O22:O$32)),4)</f>
        <v>1.1740999999999999</v>
      </c>
      <c r="Z22" s="2353">
        <f t="shared" si="0"/>
        <v>1.1740999999999999</v>
      </c>
      <c r="AA22" s="2353">
        <f>ROUND(SUMPRODUCT(PRODUCT(1+P22:P$32)),4)</f>
        <v>1.3087</v>
      </c>
      <c r="AB22" s="2353">
        <f>ROUND(SUMPRODUCT(PRODUCT(1+Q22:Q$32)),4)</f>
        <v>1.1551</v>
      </c>
      <c r="AD22" s="2354">
        <f>ROUND(AVERAGE(I22:I$33)/100,4)</f>
        <v>2.3E-2</v>
      </c>
      <c r="AE22" s="2354">
        <f>ROUND(AVERAGE(J22:J$33)/100,4)</f>
        <v>1.55E-2</v>
      </c>
      <c r="AF22" s="2354">
        <f t="shared" ref="AF22:AF31" si="148">AE22</f>
        <v>1.55E-2</v>
      </c>
      <c r="AG22" s="2354">
        <f>ROUND(AVERAGE(K22:K$33)/100,4)</f>
        <v>2.5600000000000001E-2</v>
      </c>
      <c r="AH22" s="2354">
        <f>ROUND(AVERAGE(L22:L$33)/100,4)</f>
        <v>1.32E-2</v>
      </c>
    </row>
    <row r="23" spans="1:34">
      <c r="A23" s="2367" t="s">
        <v>103</v>
      </c>
      <c r="B23" s="2384">
        <f t="shared" ref="B23:C25" si="149">B22/(1+N22)</f>
        <v>374.90436113236416</v>
      </c>
      <c r="C23" s="2384">
        <f t="shared" si="149"/>
        <v>295.64366128242779</v>
      </c>
      <c r="D23" s="2384">
        <f t="shared" ref="D23:D82" si="150">C23</f>
        <v>295.64366128242779</v>
      </c>
      <c r="E23" s="2384">
        <f t="shared" ref="E23:F25" si="151">E22/(1+P22)</f>
        <v>525.06646410938095</v>
      </c>
      <c r="F23" s="2384">
        <f t="shared" si="151"/>
        <v>261.88835286009646</v>
      </c>
      <c r="G23" s="3823"/>
      <c r="H23" s="2369">
        <v>3</v>
      </c>
      <c r="I23" s="2369">
        <v>4.12</v>
      </c>
      <c r="J23" s="2369">
        <v>2</v>
      </c>
      <c r="K23" s="2369">
        <v>4.79</v>
      </c>
      <c r="L23" s="2370">
        <v>1.97</v>
      </c>
      <c r="N23" s="2385">
        <f t="shared" ref="N23:Q57" si="152">I23/100</f>
        <v>4.1200000000000001E-2</v>
      </c>
      <c r="O23" s="2354">
        <f t="shared" si="147"/>
        <v>0.02</v>
      </c>
      <c r="P23" s="2354">
        <f t="shared" si="147"/>
        <v>4.7899999999999998E-2</v>
      </c>
      <c r="Q23" s="2354">
        <f t="shared" si="147"/>
        <v>1.9699999999999999E-2</v>
      </c>
      <c r="R23" s="2381"/>
      <c r="S23" s="2385"/>
      <c r="T23" s="2354"/>
      <c r="U23" s="2354"/>
      <c r="V23" s="2354"/>
      <c r="X23" s="2353">
        <f>ROUND(SUMPRODUCT(PRODUCT(1+N23:N$32)),4)</f>
        <v>1.2184999999999999</v>
      </c>
      <c r="Y23" s="2353">
        <f>ROUND(SUMPRODUCT(PRODUCT(1+O23:O$32)),4)</f>
        <v>1.1494</v>
      </c>
      <c r="Z23" s="2353">
        <f t="shared" si="0"/>
        <v>1.1494</v>
      </c>
      <c r="AA23" s="2353">
        <f>ROUND(SUMPRODUCT(PRODUCT(1+P23:P$32)),4)</f>
        <v>1.2425999999999999</v>
      </c>
      <c r="AB23" s="2353">
        <f>ROUND(SUMPRODUCT(PRODUCT(1+Q23:Q$32)),4)</f>
        <v>1.1372</v>
      </c>
      <c r="AD23" s="2354">
        <f>ROUND(AVERAGE(I23:I$33)/100,4)</f>
        <v>2.0899999999999998E-2</v>
      </c>
      <c r="AE23" s="2354">
        <f>ROUND(AVERAGE(J23:J$33)/100,4)</f>
        <v>1.49E-2</v>
      </c>
      <c r="AF23" s="2354">
        <f t="shared" si="148"/>
        <v>1.49E-2</v>
      </c>
      <c r="AG23" s="2354">
        <f>ROUND(AVERAGE(K23:K$33)/100,4)</f>
        <v>2.3099999999999999E-2</v>
      </c>
      <c r="AH23" s="2354">
        <f>ROUND(AVERAGE(L23:L$33)/100,4)</f>
        <v>1.2999999999999999E-2</v>
      </c>
    </row>
    <row r="24" spans="1:34">
      <c r="A24" s="2367" t="s">
        <v>93</v>
      </c>
      <c r="B24" s="2384">
        <f t="shared" si="149"/>
        <v>360.06949782209392</v>
      </c>
      <c r="C24" s="2384">
        <f t="shared" si="149"/>
        <v>289.84672674747821</v>
      </c>
      <c r="D24" s="2384">
        <f t="shared" si="150"/>
        <v>289.84672674747821</v>
      </c>
      <c r="E24" s="2384">
        <f t="shared" si="151"/>
        <v>501.06543001181495</v>
      </c>
      <c r="F24" s="2384">
        <f t="shared" si="151"/>
        <v>256.82882500744967</v>
      </c>
      <c r="G24" s="3823"/>
      <c r="H24" s="2387">
        <v>2</v>
      </c>
      <c r="I24" s="2387">
        <v>3.85</v>
      </c>
      <c r="J24" s="2387">
        <v>1.95</v>
      </c>
      <c r="K24" s="2387">
        <v>4.4800000000000004</v>
      </c>
      <c r="L24" s="2388">
        <v>1.41</v>
      </c>
      <c r="N24" s="2385">
        <f t="shared" si="152"/>
        <v>3.85E-2</v>
      </c>
      <c r="O24" s="2354">
        <f t="shared" si="147"/>
        <v>1.95E-2</v>
      </c>
      <c r="P24" s="2354">
        <f t="shared" si="147"/>
        <v>4.4800000000000006E-2</v>
      </c>
      <c r="Q24" s="2354">
        <f t="shared" si="147"/>
        <v>1.41E-2</v>
      </c>
      <c r="R24" s="2381"/>
      <c r="S24" s="2385"/>
      <c r="T24" s="2354"/>
      <c r="U24" s="2354"/>
      <c r="V24" s="2354"/>
      <c r="X24" s="2353">
        <f>ROUND(SUMPRODUCT(PRODUCT(1+N24:N$32)),4)</f>
        <v>1.1702999999999999</v>
      </c>
      <c r="Y24" s="2353">
        <f>ROUND(SUMPRODUCT(PRODUCT(1+O24:O$32)),4)</f>
        <v>1.1269</v>
      </c>
      <c r="Z24" s="2353">
        <f t="shared" si="0"/>
        <v>1.1269</v>
      </c>
      <c r="AA24" s="2353">
        <f>ROUND(SUMPRODUCT(PRODUCT(1+P24:P$32)),4)</f>
        <v>1.1858</v>
      </c>
      <c r="AB24" s="2353">
        <f>ROUND(SUMPRODUCT(PRODUCT(1+Q24:Q$32)),4)</f>
        <v>1.1152</v>
      </c>
      <c r="AD24" s="2354">
        <f>ROUND(AVERAGE(I24:I$33)/100,4)</f>
        <v>1.89E-2</v>
      </c>
      <c r="AE24" s="2354">
        <f>ROUND(AVERAGE(J24:J$33)/100,4)</f>
        <v>1.44E-2</v>
      </c>
      <c r="AF24" s="2354">
        <f t="shared" si="148"/>
        <v>1.44E-2</v>
      </c>
      <c r="AG24" s="2354">
        <f>ROUND(AVERAGE(K24:K$33)/100,4)</f>
        <v>2.06E-2</v>
      </c>
      <c r="AH24" s="2354">
        <f>ROUND(AVERAGE(L24:L$33)/100,4)</f>
        <v>1.23E-2</v>
      </c>
    </row>
    <row r="25" spans="1:34" ht="13.5" thickBot="1">
      <c r="A25" s="2367" t="s">
        <v>102</v>
      </c>
      <c r="B25" s="2384">
        <f t="shared" si="149"/>
        <v>346.720748986128</v>
      </c>
      <c r="C25" s="2384">
        <f t="shared" si="149"/>
        <v>284.30282172386285</v>
      </c>
      <c r="D25" s="2384">
        <f t="shared" si="150"/>
        <v>284.30282172386285</v>
      </c>
      <c r="E25" s="2384">
        <f t="shared" si="151"/>
        <v>479.58023546306947</v>
      </c>
      <c r="F25" s="2384">
        <f t="shared" si="151"/>
        <v>253.25788877571213</v>
      </c>
      <c r="G25" s="3824"/>
      <c r="H25" s="2369">
        <v>1</v>
      </c>
      <c r="I25" s="2369">
        <v>4.09</v>
      </c>
      <c r="J25" s="2369">
        <v>2.93</v>
      </c>
      <c r="K25" s="2369">
        <v>4.54</v>
      </c>
      <c r="L25" s="2370">
        <v>1.48</v>
      </c>
      <c r="N25" s="2385">
        <f t="shared" si="152"/>
        <v>4.0899999999999999E-2</v>
      </c>
      <c r="O25" s="2354">
        <f t="shared" si="147"/>
        <v>2.9300000000000003E-2</v>
      </c>
      <c r="P25" s="2354">
        <f t="shared" si="147"/>
        <v>4.5400000000000003E-2</v>
      </c>
      <c r="Q25" s="2354">
        <f t="shared" si="147"/>
        <v>1.4800000000000001E-2</v>
      </c>
      <c r="R25" s="2381"/>
      <c r="S25" s="2389">
        <f>B25/B26-1</f>
        <v>4.1203450408792808E-2</v>
      </c>
      <c r="T25" s="2390">
        <f>C25/C26-1</f>
        <v>2.6363977342465095E-2</v>
      </c>
      <c r="U25" s="2390">
        <f>E25/E26-1</f>
        <v>4.4837114298626357E-2</v>
      </c>
      <c r="V25" s="2390">
        <f>F25/F26-1</f>
        <v>1.7099954922538574E-2</v>
      </c>
      <c r="X25" s="2353">
        <f>ROUND(SUMPRODUCT(PRODUCT(1+N25:N$32)),4)</f>
        <v>1.1269</v>
      </c>
      <c r="Y25" s="2353">
        <f>ROUND(SUMPRODUCT(PRODUCT(1+O25:O$32)),4)</f>
        <v>1.1052999999999999</v>
      </c>
      <c r="Z25" s="2353">
        <f t="shared" si="0"/>
        <v>1.1052999999999999</v>
      </c>
      <c r="AA25" s="2353">
        <f>ROUND(SUMPRODUCT(PRODUCT(1+P25:P$32)),4)</f>
        <v>1.1349</v>
      </c>
      <c r="AB25" s="2353">
        <f>ROUND(SUMPRODUCT(PRODUCT(1+Q25:Q$32)),4)</f>
        <v>1.0996999999999999</v>
      </c>
      <c r="AD25" s="2354">
        <f>ROUND(AVERAGE(I25:I$33)/100,4)</f>
        <v>1.67E-2</v>
      </c>
      <c r="AE25" s="2354">
        <f>ROUND(AVERAGE(J25:J$33)/100,4)</f>
        <v>1.38E-2</v>
      </c>
      <c r="AF25" s="2354">
        <f t="shared" si="148"/>
        <v>1.38E-2</v>
      </c>
      <c r="AG25" s="2354">
        <f>ROUND(AVERAGE(K25:K$33)/100,4)</f>
        <v>1.7899999999999999E-2</v>
      </c>
      <c r="AH25" s="2354">
        <f>ROUND(AVERAGE(L25:L$33)/100,4)</f>
        <v>1.21E-2</v>
      </c>
    </row>
    <row r="26" spans="1:34" ht="13.5" thickBot="1">
      <c r="A26" s="2367" t="s">
        <v>101</v>
      </c>
      <c r="B26" s="2377">
        <v>333</v>
      </c>
      <c r="C26" s="2377">
        <v>277</v>
      </c>
      <c r="D26" s="2377">
        <f t="shared" si="150"/>
        <v>277</v>
      </c>
      <c r="E26" s="2377">
        <v>459</v>
      </c>
      <c r="F26" s="2378">
        <v>249</v>
      </c>
      <c r="G26" s="3822">
        <v>2015</v>
      </c>
      <c r="H26" s="2394">
        <v>4</v>
      </c>
      <c r="I26" s="2394">
        <v>1.63</v>
      </c>
      <c r="J26" s="2394">
        <v>1.1100000000000001</v>
      </c>
      <c r="K26" s="2394">
        <v>1.77</v>
      </c>
      <c r="L26" s="2395">
        <v>1.89</v>
      </c>
      <c r="N26" s="2379">
        <f t="shared" si="152"/>
        <v>1.6299999999999999E-2</v>
      </c>
      <c r="O26" s="2380">
        <f t="shared" si="147"/>
        <v>1.11E-2</v>
      </c>
      <c r="P26" s="2380">
        <f t="shared" si="147"/>
        <v>1.77E-2</v>
      </c>
      <c r="Q26" s="2380">
        <f t="shared" si="147"/>
        <v>1.89E-2</v>
      </c>
      <c r="R26" s="2381"/>
      <c r="X26" s="2353">
        <f>ROUND(SUMPRODUCT(PRODUCT(1+N26:N$32)),4)</f>
        <v>1.0826</v>
      </c>
      <c r="Y26" s="2353">
        <f>ROUND(SUMPRODUCT(PRODUCT(1+O26:O$32)),4)</f>
        <v>1.0738000000000001</v>
      </c>
      <c r="Z26" s="2353">
        <f t="shared" si="0"/>
        <v>1.0738000000000001</v>
      </c>
      <c r="AA26" s="2353">
        <f>ROUND(SUMPRODUCT(PRODUCT(1+P26:P$32)),4)</f>
        <v>1.0855999999999999</v>
      </c>
      <c r="AB26" s="2353">
        <f>ROUND(SUMPRODUCT(PRODUCT(1+Q26:Q$32)),4)</f>
        <v>1.0837000000000001</v>
      </c>
      <c r="AD26" s="2354">
        <f>ROUND(AVERAGE(I26:I$33)/100,4)</f>
        <v>1.37E-2</v>
      </c>
      <c r="AE26" s="2354">
        <f>ROUND(AVERAGE(J26:J$33)/100,4)</f>
        <v>1.1900000000000001E-2</v>
      </c>
      <c r="AF26" s="2354">
        <f t="shared" si="148"/>
        <v>1.1900000000000001E-2</v>
      </c>
      <c r="AG26" s="2354">
        <f>ROUND(AVERAGE(K26:K$33)/100,4)</f>
        <v>1.4500000000000001E-2</v>
      </c>
      <c r="AH26" s="2354">
        <f>ROUND(AVERAGE(L26:L$33)/100,4)</f>
        <v>1.18E-2</v>
      </c>
    </row>
    <row r="27" spans="1:34">
      <c r="A27" s="2367" t="s">
        <v>100</v>
      </c>
      <c r="B27" s="2384">
        <f t="shared" ref="B27:C29" si="153">B26/(1+N26)</f>
        <v>327.65915576109415</v>
      </c>
      <c r="C27" s="2384">
        <f t="shared" si="153"/>
        <v>273.95905449510434</v>
      </c>
      <c r="D27" s="2384">
        <f t="shared" si="150"/>
        <v>273.95905449510434</v>
      </c>
      <c r="E27" s="2384">
        <f t="shared" ref="E27:F29" si="154">E26/(1+P26)</f>
        <v>451.01699911565294</v>
      </c>
      <c r="F27" s="2384">
        <f t="shared" si="154"/>
        <v>244.38119540681129</v>
      </c>
      <c r="G27" s="3823"/>
      <c r="H27" s="2397">
        <v>3</v>
      </c>
      <c r="I27" s="2397">
        <v>1.65</v>
      </c>
      <c r="J27" s="2397">
        <v>0.92</v>
      </c>
      <c r="K27" s="2397">
        <v>1.88</v>
      </c>
      <c r="L27" s="2398">
        <v>1.26</v>
      </c>
      <c r="N27" s="2385">
        <f t="shared" si="152"/>
        <v>1.6500000000000001E-2</v>
      </c>
      <c r="O27" s="2391">
        <f t="shared" si="147"/>
        <v>9.1999999999999998E-3</v>
      </c>
      <c r="P27" s="2391">
        <f t="shared" si="147"/>
        <v>1.8799999999999997E-2</v>
      </c>
      <c r="Q27" s="2391">
        <f t="shared" si="147"/>
        <v>1.26E-2</v>
      </c>
      <c r="R27" s="2381"/>
      <c r="S27" s="2385"/>
      <c r="T27" s="2354"/>
      <c r="U27" s="2354"/>
      <c r="V27" s="2354"/>
      <c r="X27" s="2353">
        <f>ROUND(SUMPRODUCT(PRODUCT(1+N27:N$32)),4)</f>
        <v>1.0651999999999999</v>
      </c>
      <c r="Y27" s="2353">
        <f>ROUND(SUMPRODUCT(PRODUCT(1+O27:O$32)),4)</f>
        <v>1.0621</v>
      </c>
      <c r="Z27" s="2353">
        <f t="shared" si="0"/>
        <v>1.0621</v>
      </c>
      <c r="AA27" s="2353">
        <f>ROUND(SUMPRODUCT(PRODUCT(1+P27:P$32)),4)</f>
        <v>1.0668</v>
      </c>
      <c r="AB27" s="2353">
        <f>ROUND(SUMPRODUCT(PRODUCT(1+Q27:Q$32)),4)</f>
        <v>1.0636000000000001</v>
      </c>
      <c r="AD27" s="2354">
        <f>ROUND(AVERAGE(I27:I$33)/100,4)</f>
        <v>1.3299999999999999E-2</v>
      </c>
      <c r="AE27" s="2354">
        <f>ROUND(AVERAGE(J27:J$33)/100,4)</f>
        <v>1.2E-2</v>
      </c>
      <c r="AF27" s="2354">
        <f t="shared" si="148"/>
        <v>1.2E-2</v>
      </c>
      <c r="AG27" s="2354">
        <f>ROUND(AVERAGE(K27:K$33)/100,4)</f>
        <v>1.4E-2</v>
      </c>
      <c r="AH27" s="2354">
        <f>ROUND(AVERAGE(L27:L$33)/100,4)</f>
        <v>1.0800000000000001E-2</v>
      </c>
    </row>
    <row r="28" spans="1:34">
      <c r="A28" s="2367" t="s">
        <v>99</v>
      </c>
      <c r="B28" s="2384">
        <f t="shared" si="153"/>
        <v>322.34053690220776</v>
      </c>
      <c r="C28" s="2384">
        <f t="shared" si="153"/>
        <v>271.46160770422546</v>
      </c>
      <c r="D28" s="2384">
        <f t="shared" si="150"/>
        <v>271.46160770422546</v>
      </c>
      <c r="E28" s="2384">
        <f t="shared" si="154"/>
        <v>442.69434542172456</v>
      </c>
      <c r="F28" s="2384">
        <f t="shared" si="154"/>
        <v>241.34030753190925</v>
      </c>
      <c r="G28" s="3823"/>
      <c r="H28" s="2387">
        <v>2</v>
      </c>
      <c r="I28" s="2387">
        <v>0.77</v>
      </c>
      <c r="J28" s="2387">
        <v>0.69</v>
      </c>
      <c r="K28" s="2387">
        <v>0.8</v>
      </c>
      <c r="L28" s="2388">
        <v>0.88</v>
      </c>
      <c r="N28" s="2385">
        <f t="shared" si="152"/>
        <v>7.7000000000000002E-3</v>
      </c>
      <c r="O28" s="2391">
        <f t="shared" si="147"/>
        <v>6.8999999999999999E-3</v>
      </c>
      <c r="P28" s="2391">
        <f t="shared" si="147"/>
        <v>8.0000000000000002E-3</v>
      </c>
      <c r="Q28" s="2391">
        <f t="shared" si="147"/>
        <v>8.8000000000000005E-3</v>
      </c>
      <c r="R28" s="2381"/>
      <c r="S28" s="2385"/>
      <c r="T28" s="2354"/>
      <c r="U28" s="2354"/>
      <c r="V28" s="2354"/>
      <c r="X28" s="2353">
        <f>ROUND(SUMPRODUCT(PRODUCT(1+N28:N$32)),4)</f>
        <v>1.048</v>
      </c>
      <c r="Y28" s="2353">
        <f>ROUND(SUMPRODUCT(PRODUCT(1+O28:O$32)),4)</f>
        <v>1.0524</v>
      </c>
      <c r="Z28" s="2353">
        <f t="shared" si="0"/>
        <v>1.0524</v>
      </c>
      <c r="AA28" s="2353">
        <f>ROUND(SUMPRODUCT(PRODUCT(1+P28:P$32)),4)</f>
        <v>1.0470999999999999</v>
      </c>
      <c r="AB28" s="2353">
        <f>ROUND(SUMPRODUCT(PRODUCT(1+Q28:Q$32)),4)</f>
        <v>1.0504</v>
      </c>
      <c r="AD28" s="2354">
        <f>ROUND(AVERAGE(I28:I$33)/100,4)</f>
        <v>1.2800000000000001E-2</v>
      </c>
      <c r="AE28" s="2354">
        <f>ROUND(AVERAGE(J28:J$33)/100,4)</f>
        <v>1.2500000000000001E-2</v>
      </c>
      <c r="AF28" s="2354">
        <f t="shared" si="148"/>
        <v>1.2500000000000001E-2</v>
      </c>
      <c r="AG28" s="2354">
        <f>ROUND(AVERAGE(K28:K$33)/100,4)</f>
        <v>1.32E-2</v>
      </c>
      <c r="AH28" s="2354">
        <f>ROUND(AVERAGE(L28:L$33)/100,4)</f>
        <v>1.0500000000000001E-2</v>
      </c>
    </row>
    <row r="29" spans="1:34">
      <c r="A29" s="2367" t="s">
        <v>98</v>
      </c>
      <c r="B29" s="2384">
        <f t="shared" si="153"/>
        <v>319.87748030386797</v>
      </c>
      <c r="C29" s="2384">
        <f t="shared" si="153"/>
        <v>269.60135833173649</v>
      </c>
      <c r="D29" s="2384">
        <f t="shared" si="150"/>
        <v>269.60135833173649</v>
      </c>
      <c r="E29" s="2384">
        <f t="shared" si="154"/>
        <v>439.18089823583784</v>
      </c>
      <c r="F29" s="2384">
        <f t="shared" si="154"/>
        <v>239.23503918706311</v>
      </c>
      <c r="G29" s="3824"/>
      <c r="H29" s="2369">
        <v>1</v>
      </c>
      <c r="I29" s="2369">
        <v>0.51</v>
      </c>
      <c r="J29" s="2369">
        <v>0.54</v>
      </c>
      <c r="K29" s="2369">
        <v>0.48</v>
      </c>
      <c r="L29" s="2370">
        <v>0.93</v>
      </c>
      <c r="N29" s="2389">
        <f t="shared" si="152"/>
        <v>5.1000000000000004E-3</v>
      </c>
      <c r="O29" s="2390">
        <f t="shared" si="147"/>
        <v>5.4000000000000003E-3</v>
      </c>
      <c r="P29" s="2390">
        <f t="shared" si="147"/>
        <v>4.7999999999999996E-3</v>
      </c>
      <c r="Q29" s="2390">
        <f t="shared" si="147"/>
        <v>9.300000000000001E-3</v>
      </c>
      <c r="R29" s="2381"/>
      <c r="S29" s="2389">
        <f>B29/B30-1</f>
        <v>5.9040261127922822E-3</v>
      </c>
      <c r="T29" s="2390">
        <f>C29/C30-1</f>
        <v>5.9752176557332781E-3</v>
      </c>
      <c r="U29" s="2390">
        <f>E29/E30-1</f>
        <v>4.9906138119859556E-3</v>
      </c>
      <c r="V29" s="2390">
        <f>F29/F30-1</f>
        <v>9.4305450930933787E-3</v>
      </c>
      <c r="X29" s="2353">
        <f>ROUND(SUMPRODUCT(PRODUCT(1+N29:N$32)),4)</f>
        <v>1.0399</v>
      </c>
      <c r="Y29" s="2353">
        <f>ROUND(SUMPRODUCT(PRODUCT(1+O29:O$32)),4)</f>
        <v>1.0451999999999999</v>
      </c>
      <c r="Z29" s="2353">
        <f t="shared" si="0"/>
        <v>1.0451999999999999</v>
      </c>
      <c r="AA29" s="2353">
        <f>ROUND(SUMPRODUCT(PRODUCT(1+P29:P$32)),4)</f>
        <v>1.0387999999999999</v>
      </c>
      <c r="AB29" s="2353">
        <f>ROUND(SUMPRODUCT(PRODUCT(1+Q29:Q$32)),4)</f>
        <v>1.0411999999999999</v>
      </c>
      <c r="AD29" s="2354">
        <f>ROUND(AVERAGE(I29:I$33)/100,4)</f>
        <v>1.38E-2</v>
      </c>
      <c r="AE29" s="2354">
        <f>ROUND(AVERAGE(J29:J$33)/100,4)</f>
        <v>1.3599999999999999E-2</v>
      </c>
      <c r="AF29" s="2354">
        <f t="shared" si="148"/>
        <v>1.3599999999999999E-2</v>
      </c>
      <c r="AG29" s="2354">
        <f>ROUND(AVERAGE(K29:K$33)/100,4)</f>
        <v>1.4200000000000001E-2</v>
      </c>
      <c r="AH29" s="2354">
        <f>ROUND(AVERAGE(L29:L$33)/100,4)</f>
        <v>1.0800000000000001E-2</v>
      </c>
    </row>
    <row r="30" spans="1:34" ht="13.5" thickBot="1">
      <c r="A30" s="2367" t="s">
        <v>97</v>
      </c>
      <c r="B30" s="2399">
        <v>318</v>
      </c>
      <c r="C30" s="2399">
        <v>268</v>
      </c>
      <c r="D30" s="2399">
        <f t="shared" si="150"/>
        <v>268</v>
      </c>
      <c r="E30" s="2399">
        <v>437</v>
      </c>
      <c r="F30" s="2400">
        <v>237</v>
      </c>
      <c r="G30" s="3822">
        <v>2014</v>
      </c>
      <c r="H30" s="2394">
        <v>4</v>
      </c>
      <c r="I30" s="2394">
        <v>0.21</v>
      </c>
      <c r="J30" s="2394">
        <v>0.41</v>
      </c>
      <c r="K30" s="2394">
        <v>0.12</v>
      </c>
      <c r="L30" s="2395">
        <v>0.89</v>
      </c>
      <c r="N30" s="2385">
        <f t="shared" si="152"/>
        <v>2.0999999999999999E-3</v>
      </c>
      <c r="O30" s="2354">
        <f t="shared" si="147"/>
        <v>4.0999999999999995E-3</v>
      </c>
      <c r="P30" s="2354">
        <f t="shared" si="147"/>
        <v>1.1999999999999999E-3</v>
      </c>
      <c r="Q30" s="2354">
        <f t="shared" si="147"/>
        <v>8.8999999999999999E-3</v>
      </c>
      <c r="R30" s="2381"/>
      <c r="S30" s="2382"/>
      <c r="T30" s="2383"/>
      <c r="U30" s="2383"/>
      <c r="V30" s="2383"/>
      <c r="X30" s="2353">
        <f>ROUND(SUMPRODUCT(PRODUCT(1+N30:N$32)),4)</f>
        <v>1.0347</v>
      </c>
      <c r="Y30" s="2353">
        <f>ROUND(SUMPRODUCT(PRODUCT(1+O30:O$32)),4)</f>
        <v>1.0395000000000001</v>
      </c>
      <c r="Z30" s="2353">
        <f t="shared" si="0"/>
        <v>1.0395000000000001</v>
      </c>
      <c r="AA30" s="2353">
        <f>ROUND(SUMPRODUCT(PRODUCT(1+P30:P$32)),4)</f>
        <v>1.0338000000000001</v>
      </c>
      <c r="AB30" s="2353">
        <f>ROUND(SUMPRODUCT(PRODUCT(1+Q30:Q$32)),4)</f>
        <v>1.0316000000000001</v>
      </c>
      <c r="AD30" s="2354">
        <f>ROUND(AVERAGE(I30:I$33)/100,4)</f>
        <v>1.6E-2</v>
      </c>
      <c r="AE30" s="2354">
        <f>ROUND(AVERAGE(J30:J$33)/100,4)</f>
        <v>1.5599999999999999E-2</v>
      </c>
      <c r="AF30" s="2354">
        <f t="shared" si="148"/>
        <v>1.5599999999999999E-2</v>
      </c>
      <c r="AG30" s="2354">
        <f>ROUND(AVERAGE(K30:K$33)/100,4)</f>
        <v>1.66E-2</v>
      </c>
      <c r="AH30" s="2354">
        <f>ROUND(AVERAGE(L30:L$33)/100,4)</f>
        <v>1.12E-2</v>
      </c>
    </row>
    <row r="31" spans="1:34">
      <c r="A31" s="2367" t="s">
        <v>96</v>
      </c>
      <c r="B31" s="2384">
        <f t="shared" ref="B31:C33" si="155">B30/(1+N30)</f>
        <v>317.33359944117353</v>
      </c>
      <c r="C31" s="2384">
        <f t="shared" si="155"/>
        <v>266.90568668459315</v>
      </c>
      <c r="D31" s="2384">
        <f t="shared" si="150"/>
        <v>266.90568668459315</v>
      </c>
      <c r="E31" s="2384">
        <f t="shared" ref="E31:F33" si="156">E30/(1+P30)</f>
        <v>436.47622852576905</v>
      </c>
      <c r="F31" s="2384">
        <f t="shared" si="156"/>
        <v>234.90930716622066</v>
      </c>
      <c r="G31" s="3823"/>
      <c r="H31" s="2401">
        <v>3</v>
      </c>
      <c r="I31" s="2401">
        <v>0.83</v>
      </c>
      <c r="J31" s="2401">
        <v>1.47</v>
      </c>
      <c r="K31" s="2401">
        <v>0.65</v>
      </c>
      <c r="L31" s="2402">
        <v>0.72</v>
      </c>
      <c r="N31" s="2385">
        <f t="shared" si="152"/>
        <v>8.3000000000000001E-3</v>
      </c>
      <c r="O31" s="2354">
        <f t="shared" si="147"/>
        <v>1.47E-2</v>
      </c>
      <c r="P31" s="2354">
        <f t="shared" si="147"/>
        <v>6.5000000000000006E-3</v>
      </c>
      <c r="Q31" s="2354">
        <f t="shared" si="147"/>
        <v>7.1999999999999998E-3</v>
      </c>
      <c r="R31" s="2381"/>
      <c r="S31" s="2385"/>
      <c r="T31" s="2354"/>
      <c r="U31" s="2354"/>
      <c r="V31" s="2354"/>
      <c r="X31" s="2353">
        <f>ROUND(SUMPRODUCT(PRODUCT(1+N31:N$32)),4)</f>
        <v>1.0325</v>
      </c>
      <c r="Y31" s="2353">
        <f>ROUND(SUMPRODUCT(PRODUCT(1+O31:O$32)),4)</f>
        <v>1.0353000000000001</v>
      </c>
      <c r="Z31" s="2353">
        <f t="shared" ref="Z31:Z32" si="157">Y31</f>
        <v>1.0353000000000001</v>
      </c>
      <c r="AA31" s="2353">
        <f>ROUND(SUMPRODUCT(PRODUCT(1+P31:P$32)),4)</f>
        <v>1.0326</v>
      </c>
      <c r="AB31" s="2353">
        <f>ROUND(SUMPRODUCT(PRODUCT(1+Q31:Q$32)),4)</f>
        <v>1.0225</v>
      </c>
      <c r="AD31" s="2354">
        <f>ROUND(AVERAGE(I31:I$33)/100,4)</f>
        <v>2.07E-2</v>
      </c>
      <c r="AE31" s="2354">
        <f>ROUND(AVERAGE(J31:J$33)/100,4)</f>
        <v>1.95E-2</v>
      </c>
      <c r="AF31" s="2354">
        <f t="shared" si="148"/>
        <v>1.95E-2</v>
      </c>
      <c r="AG31" s="2354">
        <f>ROUND(AVERAGE(K31:K$33)/100,4)</f>
        <v>2.1700000000000001E-2</v>
      </c>
      <c r="AH31" s="2354">
        <f>ROUND(AVERAGE(L31:L$33)/100,4)</f>
        <v>1.2E-2</v>
      </c>
    </row>
    <row r="32" spans="1:34" ht="13.5" thickBot="1">
      <c r="A32" s="2367" t="s">
        <v>95</v>
      </c>
      <c r="B32" s="2384">
        <f t="shared" si="155"/>
        <v>314.72141172386546</v>
      </c>
      <c r="C32" s="2384">
        <f t="shared" si="155"/>
        <v>263.03901319069001</v>
      </c>
      <c r="D32" s="2384">
        <f t="shared" si="150"/>
        <v>263.03901319069001</v>
      </c>
      <c r="E32" s="2384">
        <f t="shared" si="156"/>
        <v>433.65745506782821</v>
      </c>
      <c r="F32" s="2384">
        <f t="shared" si="156"/>
        <v>233.23005080045735</v>
      </c>
      <c r="G32" s="3823"/>
      <c r="H32" s="2394">
        <v>2</v>
      </c>
      <c r="I32" s="2394">
        <v>2.4</v>
      </c>
      <c r="J32" s="2394">
        <v>2.0299999999999998</v>
      </c>
      <c r="K32" s="2394">
        <v>2.59</v>
      </c>
      <c r="L32" s="2395">
        <v>1.52</v>
      </c>
      <c r="N32" s="2385">
        <f t="shared" si="152"/>
        <v>2.4E-2</v>
      </c>
      <c r="O32" s="2354">
        <f t="shared" si="147"/>
        <v>2.0299999999999999E-2</v>
      </c>
      <c r="P32" s="2354">
        <f t="shared" si="147"/>
        <v>2.5899999999999999E-2</v>
      </c>
      <c r="Q32" s="2354">
        <f t="shared" si="147"/>
        <v>1.52E-2</v>
      </c>
      <c r="R32" s="2381"/>
      <c r="S32" s="2385"/>
      <c r="T32" s="2354"/>
      <c r="U32" s="2354"/>
      <c r="V32" s="2354"/>
      <c r="X32" s="2353">
        <f>1+N32</f>
        <v>1.024</v>
      </c>
      <c r="Y32" s="2353">
        <f>1+O32</f>
        <v>1.0203</v>
      </c>
      <c r="Z32" s="2353">
        <f t="shared" si="157"/>
        <v>1.0203</v>
      </c>
      <c r="AA32" s="2353">
        <f>1+P32</f>
        <v>1.0259</v>
      </c>
      <c r="AB32" s="2353">
        <f>1+Q32</f>
        <v>1.0152000000000001</v>
      </c>
      <c r="AD32" s="2354">
        <f>ROUND(AVERAGE(I32:I$33)/100,4)</f>
        <v>2.69E-2</v>
      </c>
      <c r="AE32" s="2354">
        <f>ROUND(AVERAGE(J32:J$33)/100,4)</f>
        <v>2.1899999999999999E-2</v>
      </c>
      <c r="AF32" s="2354">
        <f t="shared" ref="AF32" si="158">AE32</f>
        <v>2.1899999999999999E-2</v>
      </c>
      <c r="AG32" s="2354">
        <f>ROUND(AVERAGE(K32:K$33)/100,4)</f>
        <v>2.9399999999999999E-2</v>
      </c>
      <c r="AH32" s="2354">
        <f>ROUND(AVERAGE(L32:L$33)/100,4)</f>
        <v>1.44E-2</v>
      </c>
    </row>
    <row r="33" spans="1:34" s="2407" customFormat="1" ht="13.5" thickBot="1">
      <c r="A33" s="2403" t="s">
        <v>94</v>
      </c>
      <c r="B33" s="2404">
        <f t="shared" si="155"/>
        <v>307.34512863658733</v>
      </c>
      <c r="C33" s="2404">
        <f t="shared" si="155"/>
        <v>257.80556031626975</v>
      </c>
      <c r="D33" s="2404">
        <f t="shared" si="150"/>
        <v>257.80556031626975</v>
      </c>
      <c r="E33" s="2404">
        <f t="shared" si="156"/>
        <v>422.70928459677179</v>
      </c>
      <c r="F33" s="2404">
        <f t="shared" si="156"/>
        <v>229.73803270336617</v>
      </c>
      <c r="G33" s="3824"/>
      <c r="H33" s="2405">
        <v>1</v>
      </c>
      <c r="I33" s="2405">
        <v>2.97</v>
      </c>
      <c r="J33" s="2405">
        <v>2.34</v>
      </c>
      <c r="K33" s="2405">
        <v>3.28</v>
      </c>
      <c r="L33" s="2406">
        <v>1.36</v>
      </c>
      <c r="N33" s="2408">
        <f t="shared" si="152"/>
        <v>2.9700000000000001E-2</v>
      </c>
      <c r="O33" s="2409">
        <f t="shared" si="147"/>
        <v>2.3399999999999997E-2</v>
      </c>
      <c r="P33" s="2409">
        <f t="shared" si="147"/>
        <v>3.2799999999999996E-2</v>
      </c>
      <c r="Q33" s="2409">
        <f t="shared" si="147"/>
        <v>1.3600000000000001E-2</v>
      </c>
      <c r="R33" s="2410"/>
      <c r="S33" s="2411">
        <f>B33/B34-1</f>
        <v>2.7910129219355539E-2</v>
      </c>
      <c r="T33" s="2412">
        <f>C33/C34-1</f>
        <v>2.3037937762975247E-2</v>
      </c>
      <c r="U33" s="2412">
        <f>E33/E34-1</f>
        <v>3.3519033243940788E-2</v>
      </c>
      <c r="V33" s="2412">
        <f>F33/F34-1</f>
        <v>1.2061818076502862E-2</v>
      </c>
      <c r="W33" s="2413" t="s">
        <v>1205</v>
      </c>
      <c r="X33" s="2414">
        <v>1</v>
      </c>
      <c r="Y33" s="2414">
        <v>1</v>
      </c>
      <c r="Z33" s="2414">
        <v>1</v>
      </c>
      <c r="AA33" s="2414">
        <v>1</v>
      </c>
      <c r="AB33" s="2414">
        <v>1</v>
      </c>
      <c r="AD33" s="2409">
        <f>I33/100</f>
        <v>2.9700000000000001E-2</v>
      </c>
      <c r="AE33" s="2409">
        <f>J33/100</f>
        <v>2.3399999999999997E-2</v>
      </c>
      <c r="AF33" s="2409">
        <f>AE33</f>
        <v>2.3399999999999997E-2</v>
      </c>
      <c r="AG33" s="2409">
        <f>K33/100</f>
        <v>3.2799999999999996E-2</v>
      </c>
      <c r="AH33" s="2409">
        <f>L33/100</f>
        <v>1.3600000000000001E-2</v>
      </c>
    </row>
    <row r="34" spans="1:34" ht="13.5" thickBot="1">
      <c r="A34" s="2367" t="s">
        <v>1038</v>
      </c>
      <c r="B34" s="2377">
        <v>299</v>
      </c>
      <c r="C34" s="2377">
        <v>252</v>
      </c>
      <c r="D34" s="2377">
        <f t="shared" si="150"/>
        <v>252</v>
      </c>
      <c r="E34" s="2377">
        <v>409</v>
      </c>
      <c r="F34" s="2378">
        <v>227</v>
      </c>
      <c r="G34" s="3827">
        <v>2013</v>
      </c>
      <c r="H34" s="2415">
        <v>4</v>
      </c>
      <c r="I34" s="2415">
        <v>1.83</v>
      </c>
      <c r="J34" s="2415">
        <v>1.68</v>
      </c>
      <c r="K34" s="2415">
        <v>1.97</v>
      </c>
      <c r="L34" s="2416">
        <v>0.87</v>
      </c>
      <c r="N34" s="2379">
        <f t="shared" si="152"/>
        <v>1.83E-2</v>
      </c>
      <c r="O34" s="2380">
        <f t="shared" si="147"/>
        <v>1.6799999999999999E-2</v>
      </c>
      <c r="P34" s="2380">
        <f t="shared" si="147"/>
        <v>1.9699999999999999E-2</v>
      </c>
      <c r="Q34" s="2380">
        <f t="shared" si="147"/>
        <v>8.6999999999999994E-3</v>
      </c>
      <c r="R34" s="2381"/>
      <c r="S34" s="2382"/>
      <c r="T34" s="2383"/>
      <c r="U34" s="2383"/>
      <c r="V34" s="2383"/>
      <c r="X34" s="2383"/>
      <c r="Y34" s="2383"/>
      <c r="Z34" s="2383"/>
    </row>
    <row r="35" spans="1:34">
      <c r="A35" s="2367" t="s">
        <v>1039</v>
      </c>
      <c r="B35" s="2384">
        <f t="shared" ref="B35:C37" si="159">B34/(1+N34)</f>
        <v>293.62663262299913</v>
      </c>
      <c r="C35" s="2384">
        <f t="shared" si="159"/>
        <v>247.83634933123525</v>
      </c>
      <c r="D35" s="2384">
        <f t="shared" si="150"/>
        <v>247.83634933123525</v>
      </c>
      <c r="E35" s="2384">
        <f t="shared" ref="E35:F37" si="160">E34/(1+P34)</f>
        <v>401.09836226341076</v>
      </c>
      <c r="F35" s="2384">
        <f t="shared" si="160"/>
        <v>225.04213343908003</v>
      </c>
      <c r="G35" s="3828"/>
      <c r="H35" s="2397">
        <v>3</v>
      </c>
      <c r="I35" s="2397">
        <v>1.86</v>
      </c>
      <c r="J35" s="2397">
        <v>1.72</v>
      </c>
      <c r="K35" s="2397">
        <v>1.98</v>
      </c>
      <c r="L35" s="2398">
        <v>0.88</v>
      </c>
      <c r="N35" s="2385">
        <f t="shared" si="152"/>
        <v>1.8600000000000002E-2</v>
      </c>
      <c r="O35" s="2391">
        <f t="shared" si="147"/>
        <v>1.72E-2</v>
      </c>
      <c r="P35" s="2391">
        <f t="shared" si="147"/>
        <v>1.9799999999999998E-2</v>
      </c>
      <c r="Q35" s="2391">
        <f t="shared" si="147"/>
        <v>8.8000000000000005E-3</v>
      </c>
      <c r="R35" s="2381"/>
      <c r="S35" s="2385"/>
      <c r="T35" s="2354"/>
      <c r="U35" s="2354"/>
      <c r="V35" s="2354"/>
    </row>
    <row r="36" spans="1:34">
      <c r="A36" s="2367" t="s">
        <v>1040</v>
      </c>
      <c r="B36" s="2384">
        <f t="shared" si="159"/>
        <v>288.2649053828776</v>
      </c>
      <c r="C36" s="2384">
        <f t="shared" si="159"/>
        <v>243.64564425013293</v>
      </c>
      <c r="D36" s="2384">
        <f t="shared" si="150"/>
        <v>243.64564425013293</v>
      </c>
      <c r="E36" s="2384">
        <f t="shared" si="160"/>
        <v>393.31080825986544</v>
      </c>
      <c r="F36" s="2384">
        <f t="shared" si="160"/>
        <v>223.07903790551154</v>
      </c>
      <c r="G36" s="3828"/>
      <c r="H36" s="2387">
        <v>2</v>
      </c>
      <c r="I36" s="2387">
        <v>2.04</v>
      </c>
      <c r="J36" s="2387">
        <v>2.33</v>
      </c>
      <c r="K36" s="2387">
        <v>2.0699999999999998</v>
      </c>
      <c r="L36" s="2388">
        <v>0.69</v>
      </c>
      <c r="N36" s="2385">
        <f t="shared" si="152"/>
        <v>2.0400000000000001E-2</v>
      </c>
      <c r="O36" s="2391">
        <f t="shared" si="147"/>
        <v>2.3300000000000001E-2</v>
      </c>
      <c r="P36" s="2391">
        <f t="shared" si="147"/>
        <v>2.07E-2</v>
      </c>
      <c r="Q36" s="2391">
        <f t="shared" si="147"/>
        <v>6.8999999999999999E-3</v>
      </c>
      <c r="R36" s="2381"/>
      <c r="S36" s="2385"/>
      <c r="T36" s="2354"/>
      <c r="U36" s="2354"/>
      <c r="V36" s="2354"/>
      <c r="X36" s="2417"/>
      <c r="Y36" s="2418"/>
    </row>
    <row r="37" spans="1:34">
      <c r="A37" s="2367" t="s">
        <v>1041</v>
      </c>
      <c r="B37" s="2384">
        <f t="shared" si="159"/>
        <v>282.50186729015837</v>
      </c>
      <c r="C37" s="2384">
        <f t="shared" si="159"/>
        <v>238.09796174155468</v>
      </c>
      <c r="D37" s="2384">
        <f t="shared" si="150"/>
        <v>238.09796174155468</v>
      </c>
      <c r="E37" s="2384">
        <f t="shared" si="160"/>
        <v>385.33438646014054</v>
      </c>
      <c r="F37" s="2384">
        <f t="shared" si="160"/>
        <v>221.55034055567739</v>
      </c>
      <c r="G37" s="3829"/>
      <c r="H37" s="2369">
        <v>1</v>
      </c>
      <c r="I37" s="2369">
        <v>1.67</v>
      </c>
      <c r="J37" s="2369">
        <v>1.31</v>
      </c>
      <c r="K37" s="2369">
        <v>1.85</v>
      </c>
      <c r="L37" s="2370">
        <v>0.96</v>
      </c>
      <c r="N37" s="2389">
        <f t="shared" si="152"/>
        <v>1.67E-2</v>
      </c>
      <c r="O37" s="2390">
        <f t="shared" si="152"/>
        <v>1.3100000000000001E-2</v>
      </c>
      <c r="P37" s="2390">
        <f t="shared" si="152"/>
        <v>1.8500000000000003E-2</v>
      </c>
      <c r="Q37" s="2390">
        <f t="shared" si="152"/>
        <v>9.5999999999999992E-3</v>
      </c>
      <c r="R37" s="2381"/>
      <c r="S37" s="2389">
        <f>B37/B38-1</f>
        <v>1.6193767230785472E-2</v>
      </c>
      <c r="T37" s="2390">
        <f>C37/C38-1</f>
        <v>1.7512657015190891E-2</v>
      </c>
      <c r="U37" s="2390">
        <f>E37/E38-1</f>
        <v>1.6713420739157048E-2</v>
      </c>
      <c r="V37" s="2390">
        <f>F37/F38-1</f>
        <v>7.0470025258062563E-3</v>
      </c>
      <c r="X37" s="2419"/>
      <c r="Y37" s="2354"/>
      <c r="Z37" s="2354"/>
    </row>
    <row r="38" spans="1:34" ht="13.5" thickBot="1">
      <c r="A38" s="2367" t="s">
        <v>1042</v>
      </c>
      <c r="B38" s="2420">
        <v>278</v>
      </c>
      <c r="C38" s="2420">
        <v>234</v>
      </c>
      <c r="D38" s="2420">
        <f t="shared" si="150"/>
        <v>234</v>
      </c>
      <c r="E38" s="2420">
        <v>379</v>
      </c>
      <c r="F38" s="2421">
        <v>220</v>
      </c>
      <c r="G38" s="3822">
        <v>2012</v>
      </c>
      <c r="H38" s="2394">
        <v>4</v>
      </c>
      <c r="I38" s="2394">
        <v>0.91</v>
      </c>
      <c r="J38" s="2394">
        <v>0.68</v>
      </c>
      <c r="K38" s="2394">
        <v>0.98</v>
      </c>
      <c r="L38" s="2395">
        <v>0.9</v>
      </c>
      <c r="N38" s="2385">
        <f t="shared" si="152"/>
        <v>9.1000000000000004E-3</v>
      </c>
      <c r="O38" s="2354">
        <f t="shared" si="152"/>
        <v>6.8000000000000005E-3</v>
      </c>
      <c r="P38" s="2354">
        <f t="shared" si="152"/>
        <v>9.7999999999999997E-3</v>
      </c>
      <c r="Q38" s="2354">
        <f t="shared" si="152"/>
        <v>9.0000000000000011E-3</v>
      </c>
      <c r="R38" s="2381"/>
      <c r="S38" s="2382"/>
      <c r="T38" s="2383"/>
      <c r="U38" s="2383"/>
      <c r="V38" s="2383"/>
      <c r="X38" s="2383"/>
      <c r="Y38" s="2383"/>
      <c r="Z38" s="2383"/>
    </row>
    <row r="39" spans="1:34">
      <c r="A39" s="2367" t="s">
        <v>1043</v>
      </c>
      <c r="B39" s="2384">
        <f>B38/(1+N38)</f>
        <v>275.49301357645425</v>
      </c>
      <c r="C39" s="2384">
        <f>C38/(1+O38)</f>
        <v>232.41954707985698</v>
      </c>
      <c r="D39" s="2384">
        <f t="shared" si="150"/>
        <v>232.41954707985698</v>
      </c>
      <c r="E39" s="2384">
        <f t="shared" ref="E39:F41" si="161">E38/(1+P38)</f>
        <v>375.32184591008121</v>
      </c>
      <c r="F39" s="2384">
        <f t="shared" si="161"/>
        <v>218.03766105054513</v>
      </c>
      <c r="G39" s="3823"/>
      <c r="H39" s="2397">
        <v>3</v>
      </c>
      <c r="I39" s="2397">
        <v>0.09</v>
      </c>
      <c r="J39" s="2397">
        <v>0.28999999999999998</v>
      </c>
      <c r="K39" s="2397">
        <v>-0.01</v>
      </c>
      <c r="L39" s="2398">
        <v>0.57999999999999996</v>
      </c>
      <c r="N39" s="2385">
        <f t="shared" si="152"/>
        <v>8.9999999999999998E-4</v>
      </c>
      <c r="O39" s="2354">
        <f t="shared" si="152"/>
        <v>2.8999999999999998E-3</v>
      </c>
      <c r="P39" s="2354">
        <f t="shared" si="152"/>
        <v>-1E-4</v>
      </c>
      <c r="Q39" s="2354">
        <f t="shared" si="152"/>
        <v>5.7999999999999996E-3</v>
      </c>
      <c r="R39" s="2381"/>
      <c r="S39" s="2385"/>
      <c r="T39" s="2354"/>
      <c r="U39" s="2354"/>
      <c r="V39" s="2354"/>
    </row>
    <row r="40" spans="1:34">
      <c r="A40" s="2367" t="s">
        <v>1044</v>
      </c>
      <c r="B40" s="2384">
        <f>B39/(1+N39)</f>
        <v>275.24529281292263</v>
      </c>
      <c r="C40" s="2384">
        <f>C39/(1+O39)</f>
        <v>231.74747938962707</v>
      </c>
      <c r="D40" s="2384">
        <f t="shared" si="150"/>
        <v>231.74747938962707</v>
      </c>
      <c r="E40" s="2384">
        <f t="shared" si="161"/>
        <v>375.35938184826603</v>
      </c>
      <c r="F40" s="2384">
        <f t="shared" si="161"/>
        <v>216.78033510692495</v>
      </c>
      <c r="G40" s="3823"/>
      <c r="H40" s="2387">
        <v>2</v>
      </c>
      <c r="I40" s="2387">
        <v>0.02</v>
      </c>
      <c r="J40" s="2387">
        <v>0.12</v>
      </c>
      <c r="K40" s="2387">
        <v>-0.08</v>
      </c>
      <c r="L40" s="2388">
        <v>1.24</v>
      </c>
      <c r="N40" s="2385">
        <f t="shared" si="152"/>
        <v>2.0000000000000001E-4</v>
      </c>
      <c r="O40" s="2354">
        <f t="shared" si="152"/>
        <v>1.1999999999999999E-3</v>
      </c>
      <c r="P40" s="2354">
        <f t="shared" si="152"/>
        <v>-8.0000000000000004E-4</v>
      </c>
      <c r="Q40" s="2354">
        <f t="shared" si="152"/>
        <v>1.24E-2</v>
      </c>
      <c r="R40" s="2381"/>
      <c r="S40" s="2385"/>
      <c r="T40" s="2354"/>
      <c r="U40" s="2354"/>
      <c r="V40" s="2354"/>
    </row>
    <row r="41" spans="1:34" ht="13.5" thickBot="1">
      <c r="A41" s="2367" t="s">
        <v>1045</v>
      </c>
      <c r="B41" s="2384">
        <f>B40/(1+N40)</f>
        <v>275.19025476197027</v>
      </c>
      <c r="C41" s="2422">
        <v>232</v>
      </c>
      <c r="D41" s="2422">
        <f t="shared" si="150"/>
        <v>232</v>
      </c>
      <c r="E41" s="2384">
        <f t="shared" si="161"/>
        <v>375.65990977608692</v>
      </c>
      <c r="F41" s="2384">
        <f t="shared" si="161"/>
        <v>214.12518283971252</v>
      </c>
      <c r="G41" s="3824"/>
      <c r="H41" s="2369">
        <v>1</v>
      </c>
      <c r="I41" s="2369">
        <v>0.02</v>
      </c>
      <c r="J41" s="2369">
        <v>0.13</v>
      </c>
      <c r="K41" s="2369">
        <v>-0.04</v>
      </c>
      <c r="L41" s="2370">
        <v>0.46</v>
      </c>
      <c r="N41" s="2385">
        <f t="shared" si="152"/>
        <v>2.0000000000000001E-4</v>
      </c>
      <c r="O41" s="2354">
        <f t="shared" si="152"/>
        <v>1.2999999999999999E-3</v>
      </c>
      <c r="P41" s="2354">
        <f t="shared" si="152"/>
        <v>-4.0000000000000002E-4</v>
      </c>
      <c r="Q41" s="2354">
        <f t="shared" si="152"/>
        <v>4.5999999999999999E-3</v>
      </c>
      <c r="R41" s="2381"/>
      <c r="S41" s="2389">
        <f>B41/B42-1</f>
        <v>6.9183549807361189E-4</v>
      </c>
      <c r="T41" s="2390">
        <f>C41/C42-1</f>
        <v>0</v>
      </c>
      <c r="U41" s="2390">
        <f>E41/E42-1</f>
        <v>-9.0449527636460303E-4</v>
      </c>
      <c r="V41" s="2390">
        <f>F41/F42-1</f>
        <v>5.2825485432512753E-3</v>
      </c>
      <c r="X41" s="2354"/>
      <c r="Y41" s="2354"/>
      <c r="Z41" s="2354"/>
    </row>
    <row r="42" spans="1:34" ht="13.5" thickBot="1">
      <c r="A42" s="2367" t="s">
        <v>1046</v>
      </c>
      <c r="B42" s="2377">
        <v>275</v>
      </c>
      <c r="C42" s="2377">
        <v>232</v>
      </c>
      <c r="D42" s="2377">
        <f t="shared" si="150"/>
        <v>232</v>
      </c>
      <c r="E42" s="2377">
        <v>376</v>
      </c>
      <c r="F42" s="2378">
        <v>213</v>
      </c>
      <c r="G42" s="3822">
        <v>2011</v>
      </c>
      <c r="H42" s="2394">
        <v>4</v>
      </c>
      <c r="I42" s="2394">
        <v>-0.2</v>
      </c>
      <c r="J42" s="2394">
        <v>0.04</v>
      </c>
      <c r="K42" s="2394">
        <v>-0.34</v>
      </c>
      <c r="L42" s="2395">
        <v>0.46</v>
      </c>
      <c r="N42" s="2379">
        <f t="shared" si="152"/>
        <v>-2E-3</v>
      </c>
      <c r="O42" s="2380">
        <f t="shared" si="152"/>
        <v>4.0000000000000002E-4</v>
      </c>
      <c r="P42" s="2380">
        <f t="shared" si="152"/>
        <v>-3.4000000000000002E-3</v>
      </c>
      <c r="Q42" s="2380">
        <f t="shared" si="152"/>
        <v>4.5999999999999999E-3</v>
      </c>
      <c r="R42" s="2381"/>
      <c r="S42" s="2382"/>
      <c r="T42" s="2383"/>
      <c r="U42" s="2383"/>
      <c r="V42" s="2383"/>
      <c r="X42" s="2383"/>
      <c r="Y42" s="2383"/>
      <c r="Z42" s="2383"/>
    </row>
    <row r="43" spans="1:34">
      <c r="A43" s="2367" t="s">
        <v>1047</v>
      </c>
      <c r="B43" s="2384">
        <f t="shared" ref="B43:C45" si="162">B42/(1+N42)</f>
        <v>275.55110220440883</v>
      </c>
      <c r="C43" s="2384">
        <f t="shared" si="162"/>
        <v>231.90723710515795</v>
      </c>
      <c r="D43" s="2384">
        <f t="shared" si="150"/>
        <v>231.90723710515795</v>
      </c>
      <c r="E43" s="2384">
        <f t="shared" ref="E43:F45" si="163">E42/(1+P42)</f>
        <v>377.28276138872161</v>
      </c>
      <c r="F43" s="2384">
        <f t="shared" si="163"/>
        <v>212.02468644236512</v>
      </c>
      <c r="G43" s="3823">
        <v>2011</v>
      </c>
      <c r="H43" s="2397">
        <v>3</v>
      </c>
      <c r="I43" s="2397">
        <v>0.13</v>
      </c>
      <c r="J43" s="2397">
        <v>0.75</v>
      </c>
      <c r="K43" s="2397">
        <v>-0.08</v>
      </c>
      <c r="L43" s="2398">
        <v>0.53</v>
      </c>
      <c r="N43" s="2385">
        <f t="shared" si="152"/>
        <v>1.2999999999999999E-3</v>
      </c>
      <c r="O43" s="2391">
        <f t="shared" si="152"/>
        <v>7.4999999999999997E-3</v>
      </c>
      <c r="P43" s="2391">
        <f t="shared" si="152"/>
        <v>-8.0000000000000004E-4</v>
      </c>
      <c r="Q43" s="2391">
        <f t="shared" si="152"/>
        <v>5.3E-3</v>
      </c>
      <c r="R43" s="2381"/>
      <c r="S43" s="2385"/>
      <c r="T43" s="2354"/>
      <c r="U43" s="2354"/>
      <c r="V43" s="2354"/>
    </row>
    <row r="44" spans="1:34">
      <c r="A44" s="2367" t="s">
        <v>1048</v>
      </c>
      <c r="B44" s="2384">
        <f t="shared" si="162"/>
        <v>275.19335084830601</v>
      </c>
      <c r="C44" s="2384">
        <f t="shared" si="162"/>
        <v>230.18088050139744</v>
      </c>
      <c r="D44" s="2384">
        <f t="shared" si="150"/>
        <v>230.18088050139744</v>
      </c>
      <c r="E44" s="2384">
        <f t="shared" si="163"/>
        <v>377.58482925212331</v>
      </c>
      <c r="F44" s="2384">
        <f t="shared" si="163"/>
        <v>210.90687997847917</v>
      </c>
      <c r="G44" s="3823">
        <v>2011</v>
      </c>
      <c r="H44" s="2387">
        <v>2</v>
      </c>
      <c r="I44" s="2387">
        <v>-0.4</v>
      </c>
      <c r="J44" s="2387">
        <v>0.17</v>
      </c>
      <c r="K44" s="2387">
        <v>-0.57999999999999996</v>
      </c>
      <c r="L44" s="2388">
        <v>-0.2</v>
      </c>
      <c r="N44" s="2385">
        <f t="shared" si="152"/>
        <v>-4.0000000000000001E-3</v>
      </c>
      <c r="O44" s="2391">
        <f t="shared" si="152"/>
        <v>1.7000000000000001E-3</v>
      </c>
      <c r="P44" s="2391">
        <f t="shared" si="152"/>
        <v>-5.7999999999999996E-3</v>
      </c>
      <c r="Q44" s="2391">
        <f t="shared" si="152"/>
        <v>-2E-3</v>
      </c>
      <c r="R44" s="2381"/>
      <c r="S44" s="2385"/>
      <c r="T44" s="2354"/>
      <c r="U44" s="2354"/>
      <c r="V44" s="2354"/>
    </row>
    <row r="45" spans="1:34" ht="13.5" thickBot="1">
      <c r="A45" s="2367" t="s">
        <v>1049</v>
      </c>
      <c r="B45" s="2384">
        <f t="shared" si="162"/>
        <v>276.29854502841971</v>
      </c>
      <c r="C45" s="2384">
        <f t="shared" si="162"/>
        <v>229.79023709833027</v>
      </c>
      <c r="D45" s="2384">
        <f t="shared" si="150"/>
        <v>229.79023709833027</v>
      </c>
      <c r="E45" s="2384">
        <f t="shared" si="163"/>
        <v>379.78759731655936</v>
      </c>
      <c r="F45" s="2384">
        <f t="shared" si="163"/>
        <v>211.32953905659235</v>
      </c>
      <c r="G45" s="3824">
        <v>2011</v>
      </c>
      <c r="H45" s="2369">
        <v>1</v>
      </c>
      <c r="I45" s="2369">
        <v>2.65</v>
      </c>
      <c r="J45" s="2369">
        <v>3.76</v>
      </c>
      <c r="K45" s="2369">
        <v>1.89</v>
      </c>
      <c r="L45" s="2370">
        <v>7.95</v>
      </c>
      <c r="N45" s="2389">
        <f t="shared" si="152"/>
        <v>2.6499999999999999E-2</v>
      </c>
      <c r="O45" s="2390">
        <f t="shared" si="152"/>
        <v>3.7599999999999995E-2</v>
      </c>
      <c r="P45" s="2390">
        <f t="shared" si="152"/>
        <v>1.89E-2</v>
      </c>
      <c r="Q45" s="2390">
        <f t="shared" si="152"/>
        <v>7.9500000000000001E-2</v>
      </c>
      <c r="R45" s="2381"/>
      <c r="S45" s="2389">
        <f>B45/B46-1</f>
        <v>2.713213765211786E-2</v>
      </c>
      <c r="T45" s="2390">
        <f>C45/C46-1</f>
        <v>3.9774828499231862E-2</v>
      </c>
      <c r="U45" s="2390">
        <f>E45/E46-1</f>
        <v>1.8197311840641772E-2</v>
      </c>
      <c r="V45" s="2390">
        <f>F45/F46-1</f>
        <v>7.8211933962205826E-2</v>
      </c>
      <c r="X45" s="2354"/>
      <c r="Y45" s="2354"/>
      <c r="Z45" s="2354"/>
    </row>
    <row r="46" spans="1:34" ht="13.5" thickBot="1">
      <c r="A46" s="2367" t="s">
        <v>1050</v>
      </c>
      <c r="B46" s="2377">
        <v>269</v>
      </c>
      <c r="C46" s="2377">
        <v>221</v>
      </c>
      <c r="D46" s="2377">
        <f t="shared" si="150"/>
        <v>221</v>
      </c>
      <c r="E46" s="2377">
        <v>373</v>
      </c>
      <c r="F46" s="2378">
        <v>196</v>
      </c>
      <c r="G46" s="3822">
        <v>2010</v>
      </c>
      <c r="H46" s="2394">
        <v>4</v>
      </c>
      <c r="I46" s="2394">
        <v>5.72</v>
      </c>
      <c r="J46" s="2394">
        <v>6.57</v>
      </c>
      <c r="K46" s="2394">
        <v>5.72</v>
      </c>
      <c r="L46" s="2395">
        <v>2.72</v>
      </c>
      <c r="N46" s="2385">
        <f t="shared" si="152"/>
        <v>5.7200000000000001E-2</v>
      </c>
      <c r="O46" s="2354">
        <f t="shared" si="152"/>
        <v>6.5700000000000008E-2</v>
      </c>
      <c r="P46" s="2354">
        <f t="shared" si="152"/>
        <v>5.7200000000000001E-2</v>
      </c>
      <c r="Q46" s="2354">
        <f t="shared" si="152"/>
        <v>2.7200000000000002E-2</v>
      </c>
      <c r="R46" s="2381"/>
      <c r="S46" s="2382"/>
      <c r="T46" s="2383"/>
      <c r="U46" s="2383"/>
      <c r="V46" s="2383"/>
      <c r="X46" s="2383"/>
      <c r="Y46" s="2383"/>
      <c r="Z46" s="2383"/>
    </row>
    <row r="47" spans="1:34">
      <c r="A47" s="2367" t="s">
        <v>1051</v>
      </c>
      <c r="B47" s="2384">
        <f t="shared" ref="B47:C49" si="164">B46/(1+N46)</f>
        <v>254.44570563753314</v>
      </c>
      <c r="C47" s="2384">
        <f t="shared" si="164"/>
        <v>207.37543398705074</v>
      </c>
      <c r="D47" s="2384">
        <f t="shared" si="150"/>
        <v>207.37543398705074</v>
      </c>
      <c r="E47" s="2384">
        <f t="shared" ref="E47:F49" si="165">E46/(1+P46)</f>
        <v>352.81876655315932</v>
      </c>
      <c r="F47" s="2384">
        <f t="shared" si="165"/>
        <v>190.809968847352</v>
      </c>
      <c r="G47" s="3823">
        <v>2010</v>
      </c>
      <c r="H47" s="2397">
        <v>3</v>
      </c>
      <c r="I47" s="2397">
        <v>4.7300000000000004</v>
      </c>
      <c r="J47" s="2397">
        <v>3.9</v>
      </c>
      <c r="K47" s="2397">
        <v>5.03</v>
      </c>
      <c r="L47" s="2398">
        <v>4.21</v>
      </c>
      <c r="N47" s="2385">
        <f t="shared" si="152"/>
        <v>4.7300000000000002E-2</v>
      </c>
      <c r="O47" s="2354">
        <f t="shared" si="152"/>
        <v>3.9E-2</v>
      </c>
      <c r="P47" s="2354">
        <f t="shared" si="152"/>
        <v>5.0300000000000004E-2</v>
      </c>
      <c r="Q47" s="2354">
        <f t="shared" si="152"/>
        <v>4.2099999999999999E-2</v>
      </c>
      <c r="R47" s="2381"/>
      <c r="S47" s="2385"/>
      <c r="T47" s="2354"/>
      <c r="U47" s="2354"/>
      <c r="V47" s="2354"/>
    </row>
    <row r="48" spans="1:34">
      <c r="A48" s="2367" t="s">
        <v>1052</v>
      </c>
      <c r="B48" s="2384">
        <f t="shared" si="164"/>
        <v>242.95398227588385</v>
      </c>
      <c r="C48" s="2384">
        <f t="shared" si="164"/>
        <v>199.59137053614126</v>
      </c>
      <c r="D48" s="2384">
        <f t="shared" si="150"/>
        <v>199.59137053614126</v>
      </c>
      <c r="E48" s="2384">
        <f t="shared" si="165"/>
        <v>335.92189522342125</v>
      </c>
      <c r="F48" s="2384">
        <f t="shared" si="165"/>
        <v>183.10139991109489</v>
      </c>
      <c r="G48" s="3823">
        <v>2010</v>
      </c>
      <c r="H48" s="2387">
        <v>2</v>
      </c>
      <c r="I48" s="2387">
        <v>4.6900000000000004</v>
      </c>
      <c r="J48" s="2387">
        <v>3.55</v>
      </c>
      <c r="K48" s="2387">
        <v>5.07</v>
      </c>
      <c r="L48" s="2388">
        <v>4.2300000000000004</v>
      </c>
      <c r="N48" s="2385">
        <f t="shared" si="152"/>
        <v>4.6900000000000004E-2</v>
      </c>
      <c r="O48" s="2354">
        <f t="shared" si="152"/>
        <v>3.5499999999999997E-2</v>
      </c>
      <c r="P48" s="2354">
        <f t="shared" si="152"/>
        <v>5.0700000000000002E-2</v>
      </c>
      <c r="Q48" s="2354">
        <f t="shared" si="152"/>
        <v>4.2300000000000004E-2</v>
      </c>
      <c r="R48" s="2381"/>
      <c r="S48" s="2385"/>
      <c r="T48" s="2354"/>
      <c r="U48" s="2354"/>
      <c r="V48" s="2354"/>
    </row>
    <row r="49" spans="1:26" ht="13.5" thickBot="1">
      <c r="A49" s="2367" t="s">
        <v>1053</v>
      </c>
      <c r="B49" s="2384">
        <f t="shared" si="164"/>
        <v>232.06990378821649</v>
      </c>
      <c r="C49" s="2384">
        <f t="shared" si="164"/>
        <v>192.74878854286936</v>
      </c>
      <c r="D49" s="2384">
        <f t="shared" si="150"/>
        <v>192.74878854286936</v>
      </c>
      <c r="E49" s="2384">
        <f t="shared" si="165"/>
        <v>319.71247284992984</v>
      </c>
      <c r="F49" s="2384">
        <f t="shared" si="165"/>
        <v>175.67053622862409</v>
      </c>
      <c r="G49" s="3824">
        <v>2010</v>
      </c>
      <c r="H49" s="2369">
        <v>1</v>
      </c>
      <c r="I49" s="2369">
        <v>5.4</v>
      </c>
      <c r="J49" s="2369">
        <v>3.2</v>
      </c>
      <c r="K49" s="2369">
        <v>6.16</v>
      </c>
      <c r="L49" s="2370">
        <v>4.51</v>
      </c>
      <c r="N49" s="2385">
        <f t="shared" si="152"/>
        <v>5.4000000000000006E-2</v>
      </c>
      <c r="O49" s="2354">
        <f t="shared" si="152"/>
        <v>3.2000000000000001E-2</v>
      </c>
      <c r="P49" s="2354">
        <f t="shared" si="152"/>
        <v>6.1600000000000002E-2</v>
      </c>
      <c r="Q49" s="2354">
        <f t="shared" si="152"/>
        <v>4.5100000000000001E-2</v>
      </c>
      <c r="R49" s="2381"/>
      <c r="S49" s="2389">
        <f>B49/B50-1</f>
        <v>5.4863199037347599E-2</v>
      </c>
      <c r="T49" s="2390">
        <f>C49/C50-1</f>
        <v>3.0742184721226584E-2</v>
      </c>
      <c r="U49" s="2390">
        <f>E49/E50-1</f>
        <v>6.2167683886810154E-2</v>
      </c>
      <c r="V49" s="2390">
        <f>F49/F50-1</f>
        <v>4.5657953741810031E-2</v>
      </c>
      <c r="X49" s="2354"/>
      <c r="Y49" s="2354"/>
      <c r="Z49" s="2354"/>
    </row>
    <row r="50" spans="1:26" ht="13.5" thickBot="1">
      <c r="A50" s="2367" t="s">
        <v>1054</v>
      </c>
      <c r="B50" s="2377">
        <v>220</v>
      </c>
      <c r="C50" s="2377">
        <v>187</v>
      </c>
      <c r="D50" s="2377">
        <f t="shared" si="150"/>
        <v>187</v>
      </c>
      <c r="E50" s="2377">
        <v>301</v>
      </c>
      <c r="F50" s="2378">
        <v>168</v>
      </c>
      <c r="G50" s="3822">
        <v>2009</v>
      </c>
      <c r="H50" s="2394">
        <v>4</v>
      </c>
      <c r="I50" s="2394">
        <v>2.2999999999999998</v>
      </c>
      <c r="J50" s="2394">
        <v>1.04</v>
      </c>
      <c r="K50" s="2394">
        <v>2.84</v>
      </c>
      <c r="L50" s="2395">
        <v>0.67</v>
      </c>
      <c r="N50" s="2379">
        <f t="shared" si="152"/>
        <v>2.3E-2</v>
      </c>
      <c r="O50" s="2380">
        <f t="shared" si="152"/>
        <v>1.04E-2</v>
      </c>
      <c r="P50" s="2380">
        <f t="shared" si="152"/>
        <v>2.8399999999999998E-2</v>
      </c>
      <c r="Q50" s="2380">
        <f t="shared" si="152"/>
        <v>6.7000000000000002E-3</v>
      </c>
      <c r="R50" s="2381"/>
      <c r="S50" s="2382"/>
      <c r="T50" s="2383"/>
      <c r="U50" s="2383"/>
      <c r="V50" s="2383"/>
      <c r="X50" s="2383"/>
      <c r="Y50" s="2383"/>
      <c r="Z50" s="2383"/>
    </row>
    <row r="51" spans="1:26">
      <c r="A51" s="2367" t="s">
        <v>1055</v>
      </c>
      <c r="B51" s="2384">
        <f t="shared" ref="B51:C53" si="166">B50/(1+N50)</f>
        <v>215.05376344086022</v>
      </c>
      <c r="C51" s="2384">
        <f t="shared" si="166"/>
        <v>185.0752177355503</v>
      </c>
      <c r="D51" s="2384">
        <f t="shared" si="150"/>
        <v>185.0752177355503</v>
      </c>
      <c r="E51" s="2384">
        <f t="shared" ref="E51:F53" si="167">E50/(1+P50)</f>
        <v>292.68767016725008</v>
      </c>
      <c r="F51" s="2384">
        <f t="shared" si="167"/>
        <v>166.88189132810174</v>
      </c>
      <c r="G51" s="3823">
        <v>2009</v>
      </c>
      <c r="H51" s="2397">
        <v>3</v>
      </c>
      <c r="I51" s="2397">
        <v>2.1</v>
      </c>
      <c r="J51" s="2397">
        <v>1.86</v>
      </c>
      <c r="K51" s="2397">
        <v>2.29</v>
      </c>
      <c r="L51" s="2398">
        <v>0.85</v>
      </c>
      <c r="N51" s="2385">
        <f t="shared" si="152"/>
        <v>2.1000000000000001E-2</v>
      </c>
      <c r="O51" s="2391">
        <f t="shared" si="152"/>
        <v>1.8600000000000002E-2</v>
      </c>
      <c r="P51" s="2391">
        <f t="shared" si="152"/>
        <v>2.29E-2</v>
      </c>
      <c r="Q51" s="2391">
        <f t="shared" si="152"/>
        <v>8.5000000000000006E-3</v>
      </c>
      <c r="R51" s="2381"/>
      <c r="S51" s="2385"/>
      <c r="T51" s="2354"/>
      <c r="U51" s="2354"/>
      <c r="V51" s="2354"/>
    </row>
    <row r="52" spans="1:26">
      <c r="A52" s="2367" t="s">
        <v>1056</v>
      </c>
      <c r="B52" s="2384">
        <f t="shared" si="166"/>
        <v>210.630522469011</v>
      </c>
      <c r="C52" s="2384">
        <f t="shared" si="166"/>
        <v>181.69567812247232</v>
      </c>
      <c r="D52" s="2384">
        <f t="shared" si="150"/>
        <v>181.69567812247232</v>
      </c>
      <c r="E52" s="2384">
        <f t="shared" si="167"/>
        <v>286.13517466736738</v>
      </c>
      <c r="F52" s="2384">
        <f t="shared" si="167"/>
        <v>165.47535084591149</v>
      </c>
      <c r="G52" s="3823">
        <v>2009</v>
      </c>
      <c r="H52" s="2387">
        <v>2</v>
      </c>
      <c r="I52" s="2387">
        <v>0.86</v>
      </c>
      <c r="J52" s="2387">
        <v>-1.1299999999999999</v>
      </c>
      <c r="K52" s="2387">
        <v>1.79</v>
      </c>
      <c r="L52" s="2388">
        <v>-2.0699999999999998</v>
      </c>
      <c r="N52" s="2385">
        <f t="shared" si="152"/>
        <v>8.6E-3</v>
      </c>
      <c r="O52" s="2391">
        <f t="shared" si="152"/>
        <v>-1.1299999999999999E-2</v>
      </c>
      <c r="P52" s="2391">
        <f t="shared" si="152"/>
        <v>1.7899999999999999E-2</v>
      </c>
      <c r="Q52" s="2391">
        <f t="shared" si="152"/>
        <v>-2.07E-2</v>
      </c>
      <c r="R52" s="2381"/>
      <c r="S52" s="2385"/>
      <c r="T52" s="2354"/>
      <c r="U52" s="2354"/>
      <c r="V52" s="2354"/>
    </row>
    <row r="53" spans="1:26">
      <c r="A53" s="2367" t="s">
        <v>1057</v>
      </c>
      <c r="B53" s="2384">
        <f t="shared" si="166"/>
        <v>208.83454537875372</v>
      </c>
      <c r="C53" s="2384">
        <f t="shared" si="166"/>
        <v>183.77230517090351</v>
      </c>
      <c r="D53" s="2384">
        <f t="shared" si="150"/>
        <v>183.77230517090351</v>
      </c>
      <c r="E53" s="2384">
        <f t="shared" si="167"/>
        <v>281.10342338870947</v>
      </c>
      <c r="F53" s="2384">
        <f t="shared" si="167"/>
        <v>168.97309388942256</v>
      </c>
      <c r="G53" s="3824">
        <v>2009</v>
      </c>
      <c r="H53" s="2369">
        <v>1</v>
      </c>
      <c r="I53" s="2369">
        <v>-2.64</v>
      </c>
      <c r="J53" s="2369">
        <v>-2.5299999999999998</v>
      </c>
      <c r="K53" s="2369">
        <v>-3.02</v>
      </c>
      <c r="L53" s="2370">
        <v>1.52</v>
      </c>
      <c r="N53" s="2389">
        <f t="shared" si="152"/>
        <v>-2.64E-2</v>
      </c>
      <c r="O53" s="2390">
        <f t="shared" si="152"/>
        <v>-2.53E-2</v>
      </c>
      <c r="P53" s="2390">
        <f t="shared" si="152"/>
        <v>-3.0200000000000001E-2</v>
      </c>
      <c r="Q53" s="2390">
        <f t="shared" si="152"/>
        <v>1.52E-2</v>
      </c>
      <c r="R53" s="2381"/>
      <c r="S53" s="2389">
        <f>B53/B54-1</f>
        <v>-2.4137638417038754E-2</v>
      </c>
      <c r="T53" s="2390">
        <f>C53/C54-1</f>
        <v>-2.248773845264096E-2</v>
      </c>
      <c r="U53" s="2390">
        <f>E53/E54-1</f>
        <v>-2.7323794502735366E-2</v>
      </c>
      <c r="V53" s="2390">
        <f>F53/F54-1</f>
        <v>1.7910204153148035E-2</v>
      </c>
      <c r="X53" s="2354"/>
      <c r="Y53" s="2354"/>
      <c r="Z53" s="2354"/>
    </row>
    <row r="54" spans="1:26" ht="13.5" thickBot="1">
      <c r="A54" s="2367" t="s">
        <v>1058</v>
      </c>
      <c r="B54" s="2420">
        <v>214</v>
      </c>
      <c r="C54" s="2420">
        <v>188</v>
      </c>
      <c r="D54" s="2420">
        <f t="shared" si="150"/>
        <v>188</v>
      </c>
      <c r="E54" s="2420">
        <v>289</v>
      </c>
      <c r="F54" s="2421">
        <v>166</v>
      </c>
      <c r="G54" s="3822">
        <v>2008</v>
      </c>
      <c r="H54" s="2394">
        <v>4</v>
      </c>
      <c r="I54" s="2394">
        <v>1.73</v>
      </c>
      <c r="J54" s="2394">
        <v>0.03</v>
      </c>
      <c r="K54" s="2394">
        <v>2.59</v>
      </c>
      <c r="L54" s="2395">
        <v>-1.66</v>
      </c>
      <c r="N54" s="2385">
        <f t="shared" si="152"/>
        <v>1.7299999999999999E-2</v>
      </c>
      <c r="O54" s="2354">
        <f t="shared" si="152"/>
        <v>2.9999999999999997E-4</v>
      </c>
      <c r="P54" s="2354">
        <f t="shared" si="152"/>
        <v>2.5899999999999999E-2</v>
      </c>
      <c r="Q54" s="2354">
        <f t="shared" si="152"/>
        <v>-1.66E-2</v>
      </c>
      <c r="R54" s="2381"/>
      <c r="S54" s="2382"/>
      <c r="T54" s="2383"/>
      <c r="U54" s="2383"/>
      <c r="V54" s="2383"/>
      <c r="X54" s="2383"/>
      <c r="Y54" s="2383"/>
      <c r="Z54" s="2383"/>
    </row>
    <row r="55" spans="1:26">
      <c r="A55" s="2367" t="s">
        <v>1059</v>
      </c>
      <c r="B55" s="2384">
        <f t="shared" ref="B55:C57" si="168">B54/(1+N54)</f>
        <v>210.36075887152265</v>
      </c>
      <c r="C55" s="2384">
        <f t="shared" si="168"/>
        <v>187.94361691492554</v>
      </c>
      <c r="D55" s="2384">
        <f t="shared" si="150"/>
        <v>187.94361691492554</v>
      </c>
      <c r="E55" s="2384">
        <f t="shared" ref="E55:F57" si="169">E54/(1+P54)</f>
        <v>281.70386977288234</v>
      </c>
      <c r="F55" s="2384">
        <f t="shared" si="169"/>
        <v>168.80211511083994</v>
      </c>
      <c r="G55" s="3823">
        <v>2008</v>
      </c>
      <c r="H55" s="2397">
        <v>3</v>
      </c>
      <c r="I55" s="2397">
        <v>1.96</v>
      </c>
      <c r="J55" s="2397">
        <v>2.36</v>
      </c>
      <c r="K55" s="2397">
        <v>1.82</v>
      </c>
      <c r="L55" s="2398">
        <v>2.2200000000000002</v>
      </c>
      <c r="N55" s="2385">
        <f t="shared" si="152"/>
        <v>1.9599999999999999E-2</v>
      </c>
      <c r="O55" s="2354">
        <f t="shared" si="152"/>
        <v>2.3599999999999999E-2</v>
      </c>
      <c r="P55" s="2354">
        <f t="shared" si="152"/>
        <v>1.8200000000000001E-2</v>
      </c>
      <c r="Q55" s="2354">
        <f t="shared" si="152"/>
        <v>2.2200000000000001E-2</v>
      </c>
      <c r="R55" s="2381"/>
      <c r="S55" s="2385"/>
      <c r="T55" s="2354"/>
      <c r="U55" s="2354"/>
      <c r="V55" s="2354"/>
    </row>
    <row r="56" spans="1:26">
      <c r="A56" s="2367" t="s">
        <v>1060</v>
      </c>
      <c r="B56" s="2384">
        <f t="shared" si="168"/>
        <v>206.31694671589116</v>
      </c>
      <c r="C56" s="2384">
        <f t="shared" si="168"/>
        <v>183.61041121036101</v>
      </c>
      <c r="D56" s="2384">
        <f t="shared" si="150"/>
        <v>183.61041121036101</v>
      </c>
      <c r="E56" s="2384">
        <f t="shared" si="169"/>
        <v>276.66850301795557</v>
      </c>
      <c r="F56" s="2384">
        <f t="shared" si="169"/>
        <v>165.1360938278614</v>
      </c>
      <c r="G56" s="3823">
        <v>2008</v>
      </c>
      <c r="H56" s="2387">
        <v>2</v>
      </c>
      <c r="I56" s="2387">
        <v>4.93</v>
      </c>
      <c r="J56" s="2387">
        <v>7.38</v>
      </c>
      <c r="K56" s="2387">
        <v>3.98</v>
      </c>
      <c r="L56" s="2388">
        <v>6.86</v>
      </c>
      <c r="N56" s="2385">
        <f t="shared" si="152"/>
        <v>4.9299999999999997E-2</v>
      </c>
      <c r="O56" s="2354">
        <f t="shared" si="152"/>
        <v>7.3800000000000004E-2</v>
      </c>
      <c r="P56" s="2354">
        <f t="shared" si="152"/>
        <v>3.9800000000000002E-2</v>
      </c>
      <c r="Q56" s="2354">
        <f t="shared" si="152"/>
        <v>6.8600000000000008E-2</v>
      </c>
      <c r="R56" s="2381"/>
      <c r="S56" s="2385"/>
      <c r="T56" s="2354"/>
      <c r="U56" s="2354"/>
      <c r="V56" s="2354"/>
    </row>
    <row r="57" spans="1:26" s="2426" customFormat="1" ht="13.5" thickBot="1">
      <c r="A57" s="2367" t="s">
        <v>1061</v>
      </c>
      <c r="B57" s="2423">
        <f t="shared" si="168"/>
        <v>196.62341248059772</v>
      </c>
      <c r="C57" s="2423">
        <f t="shared" si="168"/>
        <v>170.99125648199012</v>
      </c>
      <c r="D57" s="2423">
        <f t="shared" si="150"/>
        <v>170.99125648199012</v>
      </c>
      <c r="E57" s="2423">
        <f t="shared" si="169"/>
        <v>266.07857570490052</v>
      </c>
      <c r="F57" s="2423">
        <f t="shared" si="169"/>
        <v>154.53499328828505</v>
      </c>
      <c r="G57" s="3824">
        <v>2008</v>
      </c>
      <c r="H57" s="2424">
        <v>1</v>
      </c>
      <c r="I57" s="2424">
        <v>4.1399999999999997</v>
      </c>
      <c r="J57" s="2424">
        <v>3.45</v>
      </c>
      <c r="K57" s="2424">
        <v>4.95</v>
      </c>
      <c r="L57" s="2425">
        <v>4.82</v>
      </c>
      <c r="N57" s="2427">
        <f t="shared" si="152"/>
        <v>4.1399999999999999E-2</v>
      </c>
      <c r="O57" s="2428">
        <f t="shared" si="152"/>
        <v>3.4500000000000003E-2</v>
      </c>
      <c r="P57" s="2428">
        <f t="shared" si="152"/>
        <v>4.9500000000000002E-2</v>
      </c>
      <c r="Q57" s="2428">
        <f t="shared" si="152"/>
        <v>4.82E-2</v>
      </c>
      <c r="R57" s="2429"/>
      <c r="S57" s="2427">
        <f>B57/B58-1</f>
        <v>4.5869215322328349E-2</v>
      </c>
      <c r="T57" s="2428">
        <f>C57/C58-1</f>
        <v>3.6310645345394743E-2</v>
      </c>
      <c r="U57" s="2428">
        <f>E57/E58-1</f>
        <v>4.7553447657088688E-2</v>
      </c>
      <c r="V57" s="2428">
        <f>F57/F58-1</f>
        <v>4.4155360055980086E-2</v>
      </c>
      <c r="X57" s="2428"/>
      <c r="Y57" s="2428"/>
      <c r="Z57" s="2428"/>
    </row>
    <row r="58" spans="1:26" ht="13.5" thickBot="1">
      <c r="A58" s="2367" t="s">
        <v>1062</v>
      </c>
      <c r="B58" s="2377">
        <v>188</v>
      </c>
      <c r="C58" s="2377">
        <v>165</v>
      </c>
      <c r="D58" s="2377">
        <f t="shared" si="150"/>
        <v>165</v>
      </c>
      <c r="E58" s="2377">
        <v>254</v>
      </c>
      <c r="F58" s="2378">
        <v>148</v>
      </c>
      <c r="G58" s="3822">
        <v>2007</v>
      </c>
      <c r="H58" s="2430">
        <v>4</v>
      </c>
      <c r="I58" s="2430">
        <v>5.51</v>
      </c>
      <c r="J58" s="2430">
        <v>4.8899999999999997</v>
      </c>
      <c r="K58" s="2430">
        <v>6.43</v>
      </c>
      <c r="L58" s="2431">
        <v>5.36</v>
      </c>
      <c r="N58" s="2432">
        <f t="shared" ref="N58:O61" si="170">B58/B59-1</f>
        <v>4.1339718365245526E-2</v>
      </c>
      <c r="O58" s="2433">
        <f t="shared" si="170"/>
        <v>4.0324492593776018E-2</v>
      </c>
      <c r="P58" s="2433">
        <f t="shared" ref="P58:Q61" si="171">E58/E59-1</f>
        <v>6.1625555347990968E-2</v>
      </c>
      <c r="Q58" s="2433">
        <f t="shared" si="171"/>
        <v>4.6757569250590603E-2</v>
      </c>
      <c r="R58" s="2381"/>
      <c r="S58" s="2382"/>
      <c r="T58" s="2383"/>
      <c r="U58" s="2383"/>
      <c r="V58" s="2383"/>
      <c r="X58" s="2383"/>
      <c r="Y58" s="2383"/>
      <c r="Z58" s="2383"/>
    </row>
    <row r="59" spans="1:26">
      <c r="A59" s="2367" t="s">
        <v>1063</v>
      </c>
      <c r="B59" s="2384">
        <f t="shared" ref="B59:C61" si="172">B60+(B$58-B$62)*I59/SUM(I$58:I$61)</f>
        <v>180.5366651097618</v>
      </c>
      <c r="C59" s="2384">
        <f t="shared" si="172"/>
        <v>158.60435967302453</v>
      </c>
      <c r="D59" s="2384">
        <f t="shared" si="150"/>
        <v>158.60435967302453</v>
      </c>
      <c r="E59" s="2384">
        <f t="shared" ref="E59:F61" si="173">E60+(E$58-E$62)*K59/SUM(K$58:K$61)</f>
        <v>239.25573260785075</v>
      </c>
      <c r="F59" s="2384">
        <f t="shared" si="173"/>
        <v>141.38899430740037</v>
      </c>
      <c r="G59" s="3823">
        <v>2007</v>
      </c>
      <c r="H59" s="2397">
        <v>3</v>
      </c>
      <c r="I59" s="2397">
        <v>8.65</v>
      </c>
      <c r="J59" s="2397">
        <v>8.06</v>
      </c>
      <c r="K59" s="2397">
        <v>9.94</v>
      </c>
      <c r="L59" s="2398">
        <v>5.8</v>
      </c>
      <c r="N59" s="2432">
        <f t="shared" si="170"/>
        <v>6.940217571740015E-2</v>
      </c>
      <c r="O59" s="2433">
        <f t="shared" si="170"/>
        <v>7.1197482471153428E-2</v>
      </c>
      <c r="P59" s="2433">
        <f t="shared" si="171"/>
        <v>0.10529679922579582</v>
      </c>
      <c r="Q59" s="2433">
        <f t="shared" si="171"/>
        <v>5.3292245059512133E-2</v>
      </c>
      <c r="R59" s="2381"/>
      <c r="S59" s="2385"/>
      <c r="T59" s="2354"/>
      <c r="U59" s="2354"/>
      <c r="V59" s="2354"/>
      <c r="X59" s="2434"/>
      <c r="Y59" s="2434"/>
      <c r="Z59" s="2434"/>
    </row>
    <row r="60" spans="1:26">
      <c r="A60" s="2367" t="s">
        <v>1064</v>
      </c>
      <c r="B60" s="2384">
        <f t="shared" si="172"/>
        <v>168.82017748715555</v>
      </c>
      <c r="C60" s="2384">
        <f t="shared" si="172"/>
        <v>148.06267029972753</v>
      </c>
      <c r="D60" s="2384">
        <f t="shared" si="150"/>
        <v>148.06267029972753</v>
      </c>
      <c r="E60" s="2384">
        <f t="shared" si="173"/>
        <v>216.46288379323747</v>
      </c>
      <c r="F60" s="2384">
        <f t="shared" si="173"/>
        <v>134.23529411764704</v>
      </c>
      <c r="G60" s="3823">
        <v>2007</v>
      </c>
      <c r="H60" s="2387">
        <v>2</v>
      </c>
      <c r="I60" s="2387">
        <v>3.67</v>
      </c>
      <c r="J60" s="2387">
        <v>2.3199999999999998</v>
      </c>
      <c r="K60" s="2387">
        <v>5.0199999999999996</v>
      </c>
      <c r="L60" s="2388">
        <v>6.71</v>
      </c>
      <c r="N60" s="2432">
        <f t="shared" si="170"/>
        <v>3.0339138143848032E-2</v>
      </c>
      <c r="O60" s="2433">
        <f t="shared" si="170"/>
        <v>2.0922341588790472E-2</v>
      </c>
      <c r="P60" s="2433">
        <f t="shared" si="171"/>
        <v>5.6164796592717003E-2</v>
      </c>
      <c r="Q60" s="2433">
        <f t="shared" si="171"/>
        <v>6.5704536723887319E-2</v>
      </c>
      <c r="R60" s="2381"/>
      <c r="S60" s="2385"/>
      <c r="T60" s="2354"/>
      <c r="U60" s="2354"/>
      <c r="V60" s="2354"/>
      <c r="X60" s="2434"/>
      <c r="Y60" s="2434"/>
      <c r="Z60" s="2434"/>
    </row>
    <row r="61" spans="1:26">
      <c r="A61" s="2367" t="s">
        <v>1065</v>
      </c>
      <c r="B61" s="2384">
        <f t="shared" si="172"/>
        <v>163.84913591779542</v>
      </c>
      <c r="C61" s="2384">
        <f t="shared" si="172"/>
        <v>145.0283378746594</v>
      </c>
      <c r="D61" s="2384">
        <f t="shared" si="150"/>
        <v>145.0283378746594</v>
      </c>
      <c r="E61" s="2384">
        <f t="shared" si="173"/>
        <v>204.95180722891567</v>
      </c>
      <c r="F61" s="2384">
        <f t="shared" si="173"/>
        <v>125.95920303605313</v>
      </c>
      <c r="G61" s="3824">
        <v>2007</v>
      </c>
      <c r="H61" s="2369">
        <v>1</v>
      </c>
      <c r="I61" s="2369">
        <v>3.58</v>
      </c>
      <c r="J61" s="2369">
        <v>3.08</v>
      </c>
      <c r="K61" s="2369">
        <v>4.34</v>
      </c>
      <c r="L61" s="2370">
        <v>3.21</v>
      </c>
      <c r="N61" s="2435">
        <f t="shared" si="170"/>
        <v>3.0497710174814063E-2</v>
      </c>
      <c r="O61" s="2436">
        <f t="shared" si="170"/>
        <v>2.8569772160704998E-2</v>
      </c>
      <c r="P61" s="2436">
        <f t="shared" si="171"/>
        <v>5.1034908866234296E-2</v>
      </c>
      <c r="Q61" s="2436">
        <f t="shared" si="171"/>
        <v>3.245248390207478E-2</v>
      </c>
      <c r="R61" s="2381"/>
      <c r="S61" s="2389">
        <f>B61/B62-1</f>
        <v>3.0497710174814063E-2</v>
      </c>
      <c r="T61" s="2390">
        <f>C61/C62-1</f>
        <v>2.8569772160704998E-2</v>
      </c>
      <c r="U61" s="2390">
        <f>E61/E62-1</f>
        <v>5.1034908866234296E-2</v>
      </c>
      <c r="V61" s="2390">
        <f>F61/F62-1</f>
        <v>3.245248390207478E-2</v>
      </c>
      <c r="X61" s="2434"/>
      <c r="Y61" s="2434"/>
      <c r="Z61" s="2434"/>
    </row>
    <row r="62" spans="1:26" ht="13.5" thickBot="1">
      <c r="A62" s="2367" t="s">
        <v>1066</v>
      </c>
      <c r="B62" s="2399">
        <v>159</v>
      </c>
      <c r="C62" s="2399">
        <v>141</v>
      </c>
      <c r="D62" s="2399">
        <f t="shared" si="150"/>
        <v>141</v>
      </c>
      <c r="E62" s="2399">
        <v>195</v>
      </c>
      <c r="F62" s="2400">
        <v>122</v>
      </c>
      <c r="G62" s="3822">
        <v>2006</v>
      </c>
      <c r="H62" s="2394">
        <v>4</v>
      </c>
      <c r="I62" s="2394">
        <v>3.79</v>
      </c>
      <c r="J62" s="2394">
        <v>2.21</v>
      </c>
      <c r="K62" s="2394">
        <v>5.65</v>
      </c>
      <c r="L62" s="2395">
        <v>5.41</v>
      </c>
      <c r="N62" s="2432">
        <f t="shared" ref="N62:O65" si="174">I62/SUM(I$62:I$65)*(B$62/B$66-1)</f>
        <v>7.245466462748526E-2</v>
      </c>
      <c r="O62" s="2433">
        <f t="shared" si="174"/>
        <v>2.3237230038062766E-2</v>
      </c>
      <c r="P62" s="2433">
        <f t="shared" ref="P62:Q65" si="175">K62/SUM(K$62:K$65)*(E$62/E$66-1)</f>
        <v>0.16146893866323722</v>
      </c>
      <c r="Q62" s="2433">
        <f t="shared" si="175"/>
        <v>5.0755230321793784E-2</v>
      </c>
      <c r="R62" s="2381"/>
      <c r="S62" s="2382"/>
      <c r="T62" s="2383"/>
      <c r="U62" s="2383"/>
      <c r="V62" s="2383"/>
      <c r="X62" s="2434"/>
      <c r="Y62" s="2434"/>
      <c r="Z62" s="2434"/>
    </row>
    <row r="63" spans="1:26">
      <c r="A63" s="2367" t="s">
        <v>1067</v>
      </c>
      <c r="B63" s="2384">
        <f t="shared" ref="B63:C65" si="176">B64+(B$62-B$66)*I63/SUM(I$62:I$65)</f>
        <v>149.00125628140702</v>
      </c>
      <c r="C63" s="2384">
        <f t="shared" si="176"/>
        <v>137.95592286501378</v>
      </c>
      <c r="D63" s="2384">
        <f t="shared" si="150"/>
        <v>137.95592286501378</v>
      </c>
      <c r="E63" s="2384">
        <f t="shared" ref="E63:F65" si="177">E64+(E$62-E$66)*K63/SUM(K$62:K$65)</f>
        <v>169.97231450719823</v>
      </c>
      <c r="F63" s="2384">
        <f t="shared" si="177"/>
        <v>116.21390374331551</v>
      </c>
      <c r="G63" s="3823">
        <v>2006</v>
      </c>
      <c r="H63" s="2397">
        <v>3</v>
      </c>
      <c r="I63" s="2397">
        <v>0.92</v>
      </c>
      <c r="J63" s="2397">
        <v>1.08</v>
      </c>
      <c r="K63" s="2397">
        <v>0.73</v>
      </c>
      <c r="L63" s="2398">
        <v>1.08</v>
      </c>
      <c r="N63" s="2432">
        <f t="shared" si="174"/>
        <v>1.7587939698492462E-2</v>
      </c>
      <c r="O63" s="2433">
        <f t="shared" si="174"/>
        <v>1.1355750425840628E-2</v>
      </c>
      <c r="P63" s="2433">
        <f t="shared" si="175"/>
        <v>2.0862358446754544E-2</v>
      </c>
      <c r="Q63" s="2433">
        <f t="shared" si="175"/>
        <v>1.0132282578103011E-2</v>
      </c>
      <c r="R63" s="2381"/>
      <c r="S63" s="2385"/>
      <c r="T63" s="2354"/>
      <c r="U63" s="2354"/>
      <c r="V63" s="2354"/>
      <c r="X63" s="2434"/>
      <c r="Y63" s="2434"/>
      <c r="Z63" s="2434"/>
    </row>
    <row r="64" spans="1:26">
      <c r="A64" s="2367" t="s">
        <v>1068</v>
      </c>
      <c r="B64" s="2384">
        <f t="shared" si="176"/>
        <v>146.57412060301507</v>
      </c>
      <c r="C64" s="2384">
        <f t="shared" si="176"/>
        <v>136.46831955922866</v>
      </c>
      <c r="D64" s="2384">
        <f t="shared" si="150"/>
        <v>136.46831955922866</v>
      </c>
      <c r="E64" s="2384">
        <f t="shared" si="177"/>
        <v>166.73864894795128</v>
      </c>
      <c r="F64" s="2384">
        <f t="shared" si="177"/>
        <v>115.05882352941177</v>
      </c>
      <c r="G64" s="3823">
        <v>2006</v>
      </c>
      <c r="H64" s="2387">
        <v>2</v>
      </c>
      <c r="I64" s="2387">
        <v>0.96</v>
      </c>
      <c r="J64" s="2387">
        <v>0.25</v>
      </c>
      <c r="K64" s="2387">
        <v>1.9</v>
      </c>
      <c r="L64" s="2388">
        <v>0.95</v>
      </c>
      <c r="N64" s="2432">
        <f t="shared" si="174"/>
        <v>1.8352632728861701E-2</v>
      </c>
      <c r="O64" s="2433">
        <f t="shared" si="174"/>
        <v>2.6286459319075526E-3</v>
      </c>
      <c r="P64" s="2433">
        <f t="shared" si="175"/>
        <v>5.4299289107991269E-2</v>
      </c>
      <c r="Q64" s="2433">
        <f t="shared" si="175"/>
        <v>8.9126559714794995E-3</v>
      </c>
      <c r="R64" s="2381"/>
      <c r="S64" s="2385"/>
      <c r="T64" s="2354"/>
      <c r="U64" s="2354"/>
      <c r="V64" s="2354"/>
      <c r="X64" s="2434"/>
      <c r="Y64" s="2434"/>
      <c r="Z64" s="2434"/>
    </row>
    <row r="65" spans="1:26">
      <c r="A65" s="2367" t="s">
        <v>1069</v>
      </c>
      <c r="B65" s="2384">
        <f t="shared" si="176"/>
        <v>144.04145728643215</v>
      </c>
      <c r="C65" s="2384">
        <f t="shared" si="176"/>
        <v>136.12396694214877</v>
      </c>
      <c r="D65" s="2384">
        <f t="shared" si="150"/>
        <v>136.12396694214877</v>
      </c>
      <c r="E65" s="2384">
        <f t="shared" si="177"/>
        <v>158.32225913621264</v>
      </c>
      <c r="F65" s="2384">
        <f t="shared" si="177"/>
        <v>114.04278074866311</v>
      </c>
      <c r="G65" s="3824">
        <v>2006</v>
      </c>
      <c r="H65" s="2369">
        <v>1</v>
      </c>
      <c r="I65" s="2369">
        <v>2.29</v>
      </c>
      <c r="J65" s="2369">
        <v>3.72</v>
      </c>
      <c r="K65" s="2369">
        <v>0.75</v>
      </c>
      <c r="L65" s="2370">
        <v>0.04</v>
      </c>
      <c r="N65" s="2435">
        <f t="shared" si="174"/>
        <v>4.3778675988638847E-2</v>
      </c>
      <c r="O65" s="2436">
        <f t="shared" si="174"/>
        <v>3.9114251466784385E-2</v>
      </c>
      <c r="P65" s="2436">
        <f t="shared" si="175"/>
        <v>2.1433929911049188E-2</v>
      </c>
      <c r="Q65" s="2436">
        <f t="shared" si="175"/>
        <v>3.7526972511492629E-4</v>
      </c>
      <c r="R65" s="2381"/>
      <c r="S65" s="2389">
        <f>B65/B66-1</f>
        <v>4.3778675988638716E-2</v>
      </c>
      <c r="T65" s="2390">
        <f>C65/C66-1</f>
        <v>3.91142514667846E-2</v>
      </c>
      <c r="U65" s="2390">
        <f>E65/E66-1</f>
        <v>2.143392991104931E-2</v>
      </c>
      <c r="V65" s="2390">
        <f>F65/F66-1</f>
        <v>3.7526972511492396E-4</v>
      </c>
      <c r="X65" s="2434"/>
      <c r="Y65" s="2434"/>
      <c r="Z65" s="2434"/>
    </row>
    <row r="66" spans="1:26" ht="13.5" thickBot="1">
      <c r="A66" s="2367" t="s">
        <v>1070</v>
      </c>
      <c r="B66" s="2399">
        <v>138</v>
      </c>
      <c r="C66" s="2399">
        <v>131</v>
      </c>
      <c r="D66" s="2399">
        <f t="shared" si="150"/>
        <v>131</v>
      </c>
      <c r="E66" s="2399">
        <v>155</v>
      </c>
      <c r="F66" s="2400">
        <v>114</v>
      </c>
      <c r="G66" s="3822">
        <v>2005</v>
      </c>
      <c r="H66" s="2394">
        <v>4</v>
      </c>
      <c r="I66" s="2394">
        <v>3.29</v>
      </c>
      <c r="J66" s="2394">
        <v>1.44</v>
      </c>
      <c r="K66" s="2394">
        <v>0.66</v>
      </c>
      <c r="L66" s="2395">
        <v>7.78</v>
      </c>
      <c r="N66" s="2432">
        <f t="shared" ref="N66:O69" si="178">I66/SUM(I$66:I$69)*(B$66/B$70-1)</f>
        <v>9.9404603216919935E-2</v>
      </c>
      <c r="O66" s="2433">
        <f t="shared" si="178"/>
        <v>4.7636550760861554E-2</v>
      </c>
      <c r="P66" s="2433">
        <f t="shared" ref="P66:Q69" si="179">K66/SUM(K$66:K$69)*(E$66/E$70-1)</f>
        <v>8.3756345177664976E-2</v>
      </c>
      <c r="Q66" s="2433">
        <f t="shared" si="179"/>
        <v>5.2148766661559584E-2</v>
      </c>
      <c r="R66" s="2381"/>
      <c r="S66" s="2382"/>
      <c r="T66" s="2383"/>
      <c r="U66" s="2383"/>
      <c r="V66" s="2383"/>
      <c r="X66" s="2434"/>
      <c r="Y66" s="2434"/>
      <c r="Z66" s="2434"/>
    </row>
    <row r="67" spans="1:26">
      <c r="A67" s="2367" t="s">
        <v>1071</v>
      </c>
      <c r="B67" s="2384">
        <f t="shared" ref="B67:C69" si="180">B68+(B$66-B$70)*I67/SUM(I$66:I$69)</f>
        <v>125.9720430107527</v>
      </c>
      <c r="C67" s="2384">
        <f t="shared" si="180"/>
        <v>125.1883408071749</v>
      </c>
      <c r="D67" s="2384">
        <f t="shared" si="150"/>
        <v>125.1883408071749</v>
      </c>
      <c r="E67" s="2384">
        <f t="shared" ref="E67:F69" si="181">E68+(E$66-E$70)*K67/SUM(K$66:K$69)</f>
        <v>144.61421319796952</v>
      </c>
      <c r="F67" s="2384">
        <f t="shared" si="181"/>
        <v>108.42008196721311</v>
      </c>
      <c r="G67" s="3823">
        <v>2005</v>
      </c>
      <c r="H67" s="2397">
        <v>3</v>
      </c>
      <c r="I67" s="2397">
        <v>0.46</v>
      </c>
      <c r="J67" s="2397">
        <v>0.32</v>
      </c>
      <c r="K67" s="2397">
        <v>0.42</v>
      </c>
      <c r="L67" s="2398">
        <v>0.64</v>
      </c>
      <c r="N67" s="2432">
        <f t="shared" si="178"/>
        <v>1.3898515951301874E-2</v>
      </c>
      <c r="O67" s="2433">
        <f t="shared" si="178"/>
        <v>1.0585900169080346E-2</v>
      </c>
      <c r="P67" s="2433">
        <f t="shared" si="179"/>
        <v>5.3299492385786795E-2</v>
      </c>
      <c r="Q67" s="2433">
        <f t="shared" si="179"/>
        <v>4.2898728359123568E-3</v>
      </c>
      <c r="R67" s="2381"/>
      <c r="S67" s="2385"/>
      <c r="T67" s="2354"/>
      <c r="U67" s="2354"/>
      <c r="V67" s="2354"/>
      <c r="X67" s="2434"/>
      <c r="Y67" s="2434"/>
      <c r="Z67" s="2434"/>
    </row>
    <row r="68" spans="1:26">
      <c r="A68" s="2367" t="s">
        <v>1072</v>
      </c>
      <c r="B68" s="2384">
        <f t="shared" si="180"/>
        <v>124.29032258064517</v>
      </c>
      <c r="C68" s="2384">
        <f t="shared" si="180"/>
        <v>123.8968609865471</v>
      </c>
      <c r="D68" s="2384">
        <f t="shared" si="150"/>
        <v>123.8968609865471</v>
      </c>
      <c r="E68" s="2384">
        <f t="shared" si="181"/>
        <v>138.00507614213197</v>
      </c>
      <c r="F68" s="2384">
        <f t="shared" si="181"/>
        <v>107.96106557377048</v>
      </c>
      <c r="G68" s="3823">
        <v>2005</v>
      </c>
      <c r="H68" s="2387">
        <v>2</v>
      </c>
      <c r="I68" s="2387">
        <v>0.47</v>
      </c>
      <c r="J68" s="2387">
        <v>0.1</v>
      </c>
      <c r="K68" s="2387">
        <v>0.52</v>
      </c>
      <c r="L68" s="2388">
        <v>0.79</v>
      </c>
      <c r="N68" s="2432">
        <f t="shared" si="178"/>
        <v>1.420065760241713E-2</v>
      </c>
      <c r="O68" s="2433">
        <f t="shared" si="178"/>
        <v>3.3080938028376083E-3</v>
      </c>
      <c r="P68" s="2433">
        <f t="shared" si="179"/>
        <v>6.598984771573603E-2</v>
      </c>
      <c r="Q68" s="2433">
        <f t="shared" si="179"/>
        <v>5.2953117818293153E-3</v>
      </c>
      <c r="R68" s="2381"/>
      <c r="S68" s="2385"/>
      <c r="T68" s="2354"/>
      <c r="U68" s="2354"/>
      <c r="V68" s="2354"/>
      <c r="X68" s="2434"/>
      <c r="Y68" s="2434"/>
      <c r="Z68" s="2434"/>
    </row>
    <row r="69" spans="1:26">
      <c r="A69" s="2367" t="s">
        <v>1073</v>
      </c>
      <c r="B69" s="2384">
        <f t="shared" si="180"/>
        <v>122.57204301075269</v>
      </c>
      <c r="C69" s="2384">
        <f t="shared" si="180"/>
        <v>123.4932735426009</v>
      </c>
      <c r="D69" s="2384">
        <f t="shared" si="150"/>
        <v>123.4932735426009</v>
      </c>
      <c r="E69" s="2384">
        <f t="shared" si="181"/>
        <v>129.82233502538071</v>
      </c>
      <c r="F69" s="2384">
        <f t="shared" si="181"/>
        <v>107.39446721311475</v>
      </c>
      <c r="G69" s="3824">
        <v>2005</v>
      </c>
      <c r="H69" s="2369">
        <v>1</v>
      </c>
      <c r="I69" s="2369">
        <v>0.43</v>
      </c>
      <c r="J69" s="2369">
        <v>0.37</v>
      </c>
      <c r="K69" s="2369">
        <v>0.37</v>
      </c>
      <c r="L69" s="2370">
        <v>0.55000000000000004</v>
      </c>
      <c r="N69" s="2435">
        <f t="shared" si="178"/>
        <v>1.2992090997956099E-2</v>
      </c>
      <c r="O69" s="2436">
        <f t="shared" si="178"/>
        <v>1.2239947070499151E-2</v>
      </c>
      <c r="P69" s="2436">
        <f t="shared" si="179"/>
        <v>4.6954314720812178E-2</v>
      </c>
      <c r="Q69" s="2436">
        <f t="shared" si="179"/>
        <v>3.6866094683621815E-3</v>
      </c>
      <c r="R69" s="2381"/>
      <c r="S69" s="2389">
        <f>B69/B70-1</f>
        <v>1.2992090997956174E-2</v>
      </c>
      <c r="T69" s="2390">
        <f>C69/C70-1</f>
        <v>1.2239947070499246E-2</v>
      </c>
      <c r="U69" s="2390">
        <f>E69/E70-1</f>
        <v>4.695431472081224E-2</v>
      </c>
      <c r="V69" s="2390">
        <f>F69/F70-1</f>
        <v>3.6866094683620787E-3</v>
      </c>
      <c r="X69" s="2434"/>
      <c r="Y69" s="2434"/>
      <c r="Z69" s="2434"/>
    </row>
    <row r="70" spans="1:26" ht="13.5" thickBot="1">
      <c r="A70" s="2367" t="s">
        <v>1074</v>
      </c>
      <c r="B70" s="2420">
        <v>121</v>
      </c>
      <c r="C70" s="2420">
        <v>122</v>
      </c>
      <c r="D70" s="2420">
        <f t="shared" si="150"/>
        <v>122</v>
      </c>
      <c r="E70" s="2420">
        <v>124</v>
      </c>
      <c r="F70" s="2421">
        <v>107</v>
      </c>
      <c r="G70" s="3822">
        <v>2004</v>
      </c>
      <c r="H70" s="2394">
        <v>4</v>
      </c>
      <c r="I70" s="2394">
        <v>0.33</v>
      </c>
      <c r="J70" s="2394">
        <v>0.5</v>
      </c>
      <c r="K70" s="2394">
        <v>0.5</v>
      </c>
      <c r="L70" s="2395">
        <v>0</v>
      </c>
      <c r="N70" s="2432">
        <f t="shared" ref="N70:O73" si="182">I70/SUM(I$70:I$73)*(B$70/B$74-1)</f>
        <v>1.3391770148526898E-2</v>
      </c>
      <c r="O70" s="2433">
        <f t="shared" si="182"/>
        <v>1.063264221158958E-2</v>
      </c>
      <c r="P70" s="2433">
        <f t="shared" ref="P70:Q73" si="183">K70/SUM(K$70:K$73)*(E$70/E$74-1)</f>
        <v>2.2244466688911134E-2</v>
      </c>
      <c r="Q70" s="2433">
        <f t="shared" si="183"/>
        <v>0</v>
      </c>
      <c r="R70" s="2381"/>
      <c r="S70" s="2382"/>
      <c r="T70" s="2383"/>
      <c r="U70" s="2383"/>
      <c r="V70" s="2383"/>
      <c r="X70" s="2434"/>
      <c r="Y70" s="2434"/>
      <c r="Z70" s="2434"/>
    </row>
    <row r="71" spans="1:26">
      <c r="A71" s="2367" t="s">
        <v>1075</v>
      </c>
      <c r="B71" s="2384">
        <f t="shared" ref="B71:C73" si="184">B72+(B$70-B$74)*I71/SUM(I$70:I$73)</f>
        <v>119.51351351351352</v>
      </c>
      <c r="C71" s="2384">
        <f t="shared" si="184"/>
        <v>120.7878787878788</v>
      </c>
      <c r="D71" s="2384">
        <f t="shared" si="150"/>
        <v>120.7878787878788</v>
      </c>
      <c r="E71" s="2384">
        <f t="shared" ref="E71:F73" si="185">E72+(E$70-E$74)*K71/SUM(K$70:K$73)</f>
        <v>121.5975975975976</v>
      </c>
      <c r="F71" s="2384">
        <f t="shared" si="185"/>
        <v>107</v>
      </c>
      <c r="G71" s="3823">
        <v>2004</v>
      </c>
      <c r="H71" s="2397">
        <v>3</v>
      </c>
      <c r="I71" s="2397">
        <v>0.56000000000000005</v>
      </c>
      <c r="J71" s="2397">
        <v>0.8</v>
      </c>
      <c r="K71" s="2397">
        <v>0.83</v>
      </c>
      <c r="L71" s="2398">
        <v>0.06</v>
      </c>
      <c r="N71" s="2432">
        <f t="shared" si="182"/>
        <v>2.2725428130833527E-2</v>
      </c>
      <c r="O71" s="2433">
        <f t="shared" si="182"/>
        <v>1.7012227538543329E-2</v>
      </c>
      <c r="P71" s="2433">
        <f t="shared" si="183"/>
        <v>3.6925814703592477E-2</v>
      </c>
      <c r="Q71" s="2433">
        <f t="shared" si="183"/>
        <v>2.8846153846153744E-2</v>
      </c>
      <c r="R71" s="2381"/>
      <c r="S71" s="2385"/>
      <c r="T71" s="2354"/>
      <c r="U71" s="2354"/>
      <c r="V71" s="2354"/>
      <c r="X71" s="2434"/>
      <c r="Y71" s="2434"/>
      <c r="Z71" s="2434"/>
    </row>
    <row r="72" spans="1:26">
      <c r="A72" s="2367" t="s">
        <v>1076</v>
      </c>
      <c r="B72" s="2384">
        <f t="shared" si="184"/>
        <v>116.99099099099099</v>
      </c>
      <c r="C72" s="2384">
        <f t="shared" si="184"/>
        <v>118.84848484848486</v>
      </c>
      <c r="D72" s="2384">
        <f t="shared" si="150"/>
        <v>118.84848484848486</v>
      </c>
      <c r="E72" s="2384">
        <f t="shared" si="185"/>
        <v>117.60960960960961</v>
      </c>
      <c r="F72" s="2384">
        <f t="shared" si="185"/>
        <v>104</v>
      </c>
      <c r="G72" s="3823">
        <v>2004</v>
      </c>
      <c r="H72" s="2387">
        <v>2</v>
      </c>
      <c r="I72" s="2387">
        <v>1</v>
      </c>
      <c r="J72" s="2387">
        <v>1.5</v>
      </c>
      <c r="K72" s="2387">
        <v>1.5</v>
      </c>
      <c r="L72" s="2388">
        <v>0</v>
      </c>
      <c r="N72" s="2432">
        <f t="shared" si="182"/>
        <v>4.0581121662202721E-2</v>
      </c>
      <c r="O72" s="2433">
        <f t="shared" si="182"/>
        <v>3.1897926634768738E-2</v>
      </c>
      <c r="P72" s="2433">
        <f t="shared" si="183"/>
        <v>6.6733400066733395E-2</v>
      </c>
      <c r="Q72" s="2433">
        <f t="shared" si="183"/>
        <v>0</v>
      </c>
      <c r="R72" s="2381"/>
      <c r="S72" s="2385"/>
      <c r="T72" s="2354"/>
      <c r="U72" s="2354"/>
      <c r="V72" s="2354"/>
      <c r="X72" s="2434"/>
      <c r="Y72" s="2434"/>
      <c r="Z72" s="2434"/>
    </row>
    <row r="73" spans="1:26" s="2426" customFormat="1" ht="13.5" thickBot="1">
      <c r="A73" s="2367" t="s">
        <v>1077</v>
      </c>
      <c r="B73" s="2423">
        <f t="shared" si="184"/>
        <v>112.48648648648648</v>
      </c>
      <c r="C73" s="2423">
        <f t="shared" si="184"/>
        <v>115.21212121212122</v>
      </c>
      <c r="D73" s="2423">
        <f t="shared" si="150"/>
        <v>115.21212121212122</v>
      </c>
      <c r="E73" s="2423">
        <f t="shared" si="185"/>
        <v>110.4024024024024</v>
      </c>
      <c r="F73" s="2423">
        <f t="shared" si="185"/>
        <v>104</v>
      </c>
      <c r="G73" s="3824">
        <v>2004</v>
      </c>
      <c r="H73" s="2424">
        <v>1</v>
      </c>
      <c r="I73" s="2424">
        <v>0.33</v>
      </c>
      <c r="J73" s="2424">
        <v>0.5</v>
      </c>
      <c r="K73" s="2424">
        <v>0.5</v>
      </c>
      <c r="L73" s="2425">
        <v>0</v>
      </c>
      <c r="N73" s="2437">
        <f t="shared" si="182"/>
        <v>1.3391770148526898E-2</v>
      </c>
      <c r="O73" s="2438">
        <f t="shared" si="182"/>
        <v>1.063264221158958E-2</v>
      </c>
      <c r="P73" s="2438">
        <f t="shared" si="183"/>
        <v>2.2244466688911134E-2</v>
      </c>
      <c r="Q73" s="2438">
        <f t="shared" si="183"/>
        <v>0</v>
      </c>
      <c r="R73" s="2429"/>
      <c r="S73" s="2427">
        <f>B73/B74-1</f>
        <v>1.3391770148526883E-2</v>
      </c>
      <c r="T73" s="2428">
        <f>C73/C74-1</f>
        <v>1.063264221158966E-2</v>
      </c>
      <c r="U73" s="2428">
        <f>E73/E74-1</f>
        <v>2.2244466688911224E-2</v>
      </c>
      <c r="V73" s="2428">
        <f>F73/F74-1</f>
        <v>0</v>
      </c>
      <c r="X73" s="2439"/>
      <c r="Y73" s="2439"/>
      <c r="Z73" s="2439"/>
    </row>
    <row r="74" spans="1:26" ht="13.5" thickBot="1">
      <c r="A74" s="2367" t="s">
        <v>1078</v>
      </c>
      <c r="B74" s="2440">
        <v>111</v>
      </c>
      <c r="C74" s="2440">
        <v>114</v>
      </c>
      <c r="D74" s="2440">
        <f t="shared" si="150"/>
        <v>114</v>
      </c>
      <c r="E74" s="2440">
        <v>108</v>
      </c>
      <c r="F74" s="2441">
        <v>104</v>
      </c>
      <c r="G74" s="3822">
        <v>2003</v>
      </c>
      <c r="H74" s="2430">
        <v>4</v>
      </c>
      <c r="I74" s="2442"/>
      <c r="J74" s="2442"/>
      <c r="K74" s="2442"/>
      <c r="L74" s="2442"/>
      <c r="N74" s="2443"/>
      <c r="O74" s="2442"/>
      <c r="P74" s="2442"/>
      <c r="Q74" s="2442"/>
      <c r="S74" s="2443"/>
      <c r="T74" s="2442"/>
      <c r="U74" s="2442"/>
      <c r="V74" s="2442"/>
      <c r="X74" s="2434"/>
      <c r="Y74" s="2434"/>
      <c r="Z74" s="2434"/>
    </row>
    <row r="75" spans="1:26">
      <c r="A75" s="2367" t="s">
        <v>1079</v>
      </c>
      <c r="B75" s="2444">
        <f t="shared" ref="B75:C77" si="186">B76+(B$74-B$78)/4</f>
        <v>109.75</v>
      </c>
      <c r="C75" s="2444">
        <f t="shared" si="186"/>
        <v>112.25</v>
      </c>
      <c r="D75" s="2444">
        <f t="shared" si="150"/>
        <v>112.25</v>
      </c>
      <c r="E75" s="2444">
        <f t="shared" ref="E75:F77" si="187">E76+(E$74-E$78)/4</f>
        <v>107.25</v>
      </c>
      <c r="F75" s="2444">
        <f t="shared" si="187"/>
        <v>103.5</v>
      </c>
      <c r="G75" s="3823">
        <v>2003</v>
      </c>
      <c r="H75" s="2397">
        <v>3</v>
      </c>
      <c r="I75" s="2442"/>
      <c r="J75" s="2442"/>
      <c r="K75" s="2442"/>
      <c r="L75" s="2442"/>
      <c r="X75" s="2434"/>
      <c r="Y75" s="2434"/>
      <c r="Z75" s="2434"/>
    </row>
    <row r="76" spans="1:26">
      <c r="A76" s="2367" t="s">
        <v>1080</v>
      </c>
      <c r="B76" s="2444">
        <f t="shared" si="186"/>
        <v>108.5</v>
      </c>
      <c r="C76" s="2444">
        <f t="shared" si="186"/>
        <v>110.5</v>
      </c>
      <c r="D76" s="2444">
        <f t="shared" si="150"/>
        <v>110.5</v>
      </c>
      <c r="E76" s="2444">
        <f t="shared" si="187"/>
        <v>106.5</v>
      </c>
      <c r="F76" s="2444">
        <f t="shared" si="187"/>
        <v>103</v>
      </c>
      <c r="G76" s="3823">
        <v>2003</v>
      </c>
      <c r="H76" s="2387">
        <v>2</v>
      </c>
      <c r="I76" s="2442"/>
      <c r="J76" s="2442"/>
      <c r="K76" s="2442"/>
      <c r="L76" s="2442"/>
      <c r="X76" s="2434"/>
      <c r="Y76" s="2434"/>
      <c r="Z76" s="2434"/>
    </row>
    <row r="77" spans="1:26" ht="13.5" thickBot="1">
      <c r="A77" s="2367" t="s">
        <v>1081</v>
      </c>
      <c r="B77" s="2444">
        <f t="shared" si="186"/>
        <v>107.25</v>
      </c>
      <c r="C77" s="2444">
        <f t="shared" si="186"/>
        <v>108.75</v>
      </c>
      <c r="D77" s="2444">
        <f t="shared" si="150"/>
        <v>108.75</v>
      </c>
      <c r="E77" s="2444">
        <f t="shared" si="187"/>
        <v>105.75</v>
      </c>
      <c r="F77" s="2444">
        <f t="shared" si="187"/>
        <v>102.5</v>
      </c>
      <c r="G77" s="3824">
        <v>2003</v>
      </c>
      <c r="H77" s="2445">
        <v>1</v>
      </c>
      <c r="I77" s="2442"/>
      <c r="J77" s="2442"/>
      <c r="K77" s="2442"/>
      <c r="L77" s="2442"/>
      <c r="S77" s="2385"/>
      <c r="T77" s="2354"/>
      <c r="U77" s="2354"/>
      <c r="X77" s="2434"/>
      <c r="Y77" s="2434"/>
      <c r="Z77" s="2434"/>
    </row>
    <row r="78" spans="1:26" ht="13.5" thickBot="1">
      <c r="A78" s="2367" t="s">
        <v>1082</v>
      </c>
      <c r="B78" s="2446">
        <v>106</v>
      </c>
      <c r="C78" s="2446">
        <v>107</v>
      </c>
      <c r="D78" s="2446">
        <f t="shared" si="150"/>
        <v>107</v>
      </c>
      <c r="E78" s="2446">
        <v>105</v>
      </c>
      <c r="F78" s="2447">
        <v>102</v>
      </c>
      <c r="G78" s="3822">
        <v>2002</v>
      </c>
      <c r="H78" s="2394">
        <v>4</v>
      </c>
      <c r="I78" s="2442"/>
      <c r="J78" s="2442"/>
      <c r="K78" s="2442"/>
      <c r="L78" s="2442"/>
      <c r="N78" s="2443"/>
      <c r="O78" s="2442"/>
      <c r="P78" s="2442"/>
      <c r="Q78" s="2442"/>
      <c r="S78" s="2443"/>
      <c r="T78" s="2442"/>
      <c r="U78" s="2442"/>
      <c r="V78" s="2442"/>
      <c r="X78" s="2434"/>
      <c r="Y78" s="2434"/>
      <c r="Z78" s="2434"/>
    </row>
    <row r="79" spans="1:26">
      <c r="A79" s="2367" t="s">
        <v>1083</v>
      </c>
      <c r="B79" s="2444">
        <f t="shared" ref="B79:C81" si="188">B80+(B$78-B$82)/4</f>
        <v>105</v>
      </c>
      <c r="C79" s="2444">
        <f t="shared" si="188"/>
        <v>106</v>
      </c>
      <c r="D79" s="2444">
        <f t="shared" si="150"/>
        <v>106</v>
      </c>
      <c r="E79" s="2444">
        <f t="shared" ref="E79:F81" si="189">E80+(E$78-E$82)/4</f>
        <v>104.5</v>
      </c>
      <c r="F79" s="2444">
        <f t="shared" si="189"/>
        <v>101.5</v>
      </c>
      <c r="G79" s="3823">
        <v>2002</v>
      </c>
      <c r="H79" s="2397">
        <v>3</v>
      </c>
      <c r="I79" s="2442"/>
      <c r="J79" s="2442"/>
      <c r="K79" s="2442"/>
      <c r="L79" s="2442"/>
      <c r="X79" s="2434"/>
      <c r="Y79" s="2434"/>
      <c r="Z79" s="2434"/>
    </row>
    <row r="80" spans="1:26">
      <c r="A80" s="2367" t="s">
        <v>1084</v>
      </c>
      <c r="B80" s="2444">
        <f t="shared" si="188"/>
        <v>104</v>
      </c>
      <c r="C80" s="2444">
        <f t="shared" si="188"/>
        <v>105</v>
      </c>
      <c r="D80" s="2444">
        <f t="shared" si="150"/>
        <v>105</v>
      </c>
      <c r="E80" s="2444">
        <f t="shared" si="189"/>
        <v>104</v>
      </c>
      <c r="F80" s="2444">
        <f t="shared" si="189"/>
        <v>101</v>
      </c>
      <c r="G80" s="3823">
        <v>2002</v>
      </c>
      <c r="H80" s="2387">
        <v>2</v>
      </c>
      <c r="I80" s="2442"/>
      <c r="J80" s="2442"/>
      <c r="K80" s="2442"/>
      <c r="L80" s="2442"/>
      <c r="X80" s="2434"/>
      <c r="Y80" s="2434"/>
      <c r="Z80" s="2434"/>
    </row>
    <row r="81" spans="1:26" s="2407" customFormat="1" ht="13.5" thickBot="1">
      <c r="A81" s="2403" t="s">
        <v>1085</v>
      </c>
      <c r="B81" s="2410">
        <f t="shared" si="188"/>
        <v>103</v>
      </c>
      <c r="C81" s="2410">
        <f t="shared" si="188"/>
        <v>104</v>
      </c>
      <c r="D81" s="2410">
        <f t="shared" si="150"/>
        <v>104</v>
      </c>
      <c r="E81" s="2410">
        <f t="shared" si="189"/>
        <v>103.5</v>
      </c>
      <c r="F81" s="2410">
        <f t="shared" si="189"/>
        <v>100.5</v>
      </c>
      <c r="G81" s="3824">
        <v>2002</v>
      </c>
      <c r="H81" s="2448">
        <v>1</v>
      </c>
      <c r="I81" s="2449"/>
      <c r="J81" s="2449"/>
      <c r="K81" s="2449"/>
      <c r="L81" s="2449"/>
      <c r="N81" s="2450"/>
      <c r="S81" s="2450"/>
      <c r="X81" s="2451"/>
      <c r="Y81" s="2451"/>
      <c r="Z81" s="2451"/>
    </row>
    <row r="82" spans="1:26" ht="13.5" thickBot="1">
      <c r="B82" s="2452">
        <v>102</v>
      </c>
      <c r="C82" s="2453">
        <v>103</v>
      </c>
      <c r="D82" s="2453">
        <f t="shared" si="150"/>
        <v>103</v>
      </c>
      <c r="E82" s="2453">
        <v>103</v>
      </c>
      <c r="F82" s="2454">
        <v>100</v>
      </c>
      <c r="I82" s="2442"/>
      <c r="J82" s="2442"/>
      <c r="K82" s="2442"/>
      <c r="L82" s="2442"/>
      <c r="N82" s="2443"/>
      <c r="O82" s="2442"/>
      <c r="P82" s="2442"/>
      <c r="Q82" s="2442"/>
      <c r="S82" s="2443"/>
      <c r="T82" s="2442"/>
      <c r="U82" s="2442"/>
      <c r="V82" s="2442"/>
      <c r="X82" s="2383"/>
      <c r="Y82" s="2383"/>
      <c r="Z82" s="2383"/>
    </row>
    <row r="84" spans="1:26" s="2456" customFormat="1">
      <c r="A84" s="2455" t="s">
        <v>1086</v>
      </c>
      <c r="G84" s="2457"/>
      <c r="N84" s="2457"/>
      <c r="S84" s="2457"/>
    </row>
    <row r="85" spans="1:26" s="2456" customFormat="1">
      <c r="A85" s="2456" t="s">
        <v>1087</v>
      </c>
      <c r="G85" s="2457"/>
      <c r="N85" s="2457"/>
      <c r="S85" s="2457"/>
    </row>
    <row r="86" spans="1:26" s="2456" customFormat="1">
      <c r="A86" s="2456" t="s">
        <v>1088</v>
      </c>
      <c r="G86" s="2457"/>
      <c r="I86" s="2458"/>
      <c r="J86" s="2458"/>
      <c r="K86" s="2458"/>
      <c r="L86" s="2458"/>
      <c r="N86" s="2459"/>
      <c r="O86" s="2458"/>
      <c r="P86" s="2458"/>
      <c r="Q86" s="2458"/>
      <c r="S86" s="2459"/>
      <c r="T86" s="2458"/>
      <c r="U86" s="2458"/>
      <c r="V86" s="2458"/>
    </row>
    <row r="87" spans="1:26" s="2456" customFormat="1">
      <c r="A87" s="2456" t="s">
        <v>1089</v>
      </c>
      <c r="G87" s="2457"/>
      <c r="N87" s="2457"/>
      <c r="S87" s="2457"/>
    </row>
    <row r="94" spans="1:26" ht="13.5" thickBot="1"/>
    <row r="95" spans="1:26">
      <c r="G95" s="2353"/>
      <c r="S95" s="2460" t="s">
        <v>1090</v>
      </c>
      <c r="T95" s="2461" t="s">
        <v>1091</v>
      </c>
      <c r="U95" s="2461" t="s">
        <v>1092</v>
      </c>
      <c r="V95" s="2461" t="s">
        <v>1093</v>
      </c>
    </row>
    <row r="96" spans="1:26">
      <c r="G96" s="2353"/>
      <c r="N96" s="2382"/>
      <c r="O96" s="2383"/>
      <c r="P96" s="2383"/>
      <c r="Q96" s="2383"/>
      <c r="S96" s="2462">
        <v>2006</v>
      </c>
      <c r="T96" s="2463">
        <v>15.1</v>
      </c>
      <c r="U96" s="2463">
        <v>7.43</v>
      </c>
      <c r="V96" s="2463">
        <v>26.26</v>
      </c>
    </row>
    <row r="97" spans="7:22">
      <c r="G97" s="2353"/>
      <c r="N97" s="2382"/>
      <c r="O97" s="2383"/>
      <c r="P97" s="2383"/>
      <c r="Q97" s="2383"/>
      <c r="S97" s="2464">
        <v>2005</v>
      </c>
      <c r="T97" s="2465">
        <v>13.9</v>
      </c>
      <c r="U97" s="2465">
        <v>7.49</v>
      </c>
      <c r="V97" s="2465">
        <v>24.92</v>
      </c>
    </row>
    <row r="98" spans="7:22">
      <c r="G98" s="2353"/>
      <c r="N98" s="2382"/>
      <c r="O98" s="2383"/>
      <c r="P98" s="2383"/>
      <c r="Q98" s="2383"/>
      <c r="S98" s="2462">
        <v>2004</v>
      </c>
      <c r="T98" s="2463">
        <v>9.48</v>
      </c>
      <c r="U98" s="2463">
        <v>7.2</v>
      </c>
      <c r="V98" s="2463">
        <v>14.68</v>
      </c>
    </row>
    <row r="99" spans="7:22">
      <c r="G99" s="2353"/>
      <c r="N99" s="2382"/>
      <c r="O99" s="2383"/>
      <c r="P99" s="2383"/>
      <c r="Q99" s="2383"/>
      <c r="S99" s="2464">
        <v>2003</v>
      </c>
      <c r="T99" s="2465">
        <v>4.5</v>
      </c>
      <c r="U99" s="2465">
        <v>6.12</v>
      </c>
      <c r="V99" s="2465">
        <v>2.34</v>
      </c>
    </row>
    <row r="100" spans="7:22" ht="13.5" thickBot="1">
      <c r="G100" s="2353"/>
      <c r="N100" s="2382"/>
      <c r="O100" s="2383"/>
      <c r="P100" s="2383"/>
      <c r="Q100" s="2383"/>
      <c r="S100" s="2466">
        <v>2002</v>
      </c>
      <c r="T100" s="2467">
        <v>3.59</v>
      </c>
      <c r="U100" s="2467">
        <v>4.54</v>
      </c>
      <c r="V100" s="2467">
        <v>2.5499999999999998</v>
      </c>
    </row>
    <row r="101" spans="7:22">
      <c r="G101" s="2353"/>
      <c r="N101" s="2382"/>
      <c r="O101" s="2383"/>
      <c r="P101" s="2383"/>
      <c r="Q101" s="2383"/>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c r="S111" s="235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BT13"/>
  <sheetViews>
    <sheetView workbookViewId="0">
      <pane xSplit="6" ySplit="1" topLeftCell="G2" activePane="bottomRight" state="frozen"/>
      <selection pane="topRight" activeCell="G1" sqref="G1"/>
      <selection pane="bottomLeft" activeCell="A2" sqref="A2"/>
      <selection pane="bottomRight" activeCell="BI13" sqref="BI13"/>
    </sheetView>
  </sheetViews>
  <sheetFormatPr defaultRowHeight="13.5"/>
  <cols>
    <col min="1" max="1" width="0" hidden="1" customWidth="1"/>
    <col min="4" max="5" width="0" hidden="1" customWidth="1"/>
    <col min="6" max="6" width="17" customWidth="1"/>
    <col min="10" max="10" width="12.625" customWidth="1"/>
    <col min="11" max="11" width="0" hidden="1" customWidth="1"/>
    <col min="14" max="15" width="0" hidden="1" customWidth="1"/>
    <col min="19" max="19" width="0" hidden="1" customWidth="1"/>
    <col min="20" max="20" width="12.75" hidden="1" customWidth="1"/>
    <col min="22" max="22" width="14.625" customWidth="1"/>
    <col min="23" max="23" width="0" hidden="1" customWidth="1"/>
    <col min="24" max="24" width="10.375" hidden="1" customWidth="1"/>
    <col min="25" max="58" width="0" hidden="1" customWidth="1"/>
    <col min="59" max="59" width="17.125" customWidth="1"/>
  </cols>
  <sheetData>
    <row r="1" spans="1:72" ht="15" thickBot="1">
      <c r="A1" s="3173" t="s">
        <v>2751</v>
      </c>
      <c r="B1" s="3173" t="s">
        <v>2751</v>
      </c>
      <c r="C1" s="3173" t="s">
        <v>2950</v>
      </c>
      <c r="D1" s="3173" t="s">
        <v>2915</v>
      </c>
      <c r="E1" s="3173" t="s">
        <v>2916</v>
      </c>
      <c r="F1" s="3173" t="s">
        <v>2917</v>
      </c>
      <c r="G1" s="3173" t="s">
        <v>2918</v>
      </c>
      <c r="H1" s="3173" t="s">
        <v>2919</v>
      </c>
      <c r="I1" s="3173" t="s">
        <v>2920</v>
      </c>
      <c r="J1" s="3173" t="s">
        <v>2921</v>
      </c>
      <c r="K1" s="3173" t="s">
        <v>2922</v>
      </c>
      <c r="L1" s="3173" t="s">
        <v>2923</v>
      </c>
      <c r="M1" s="3173" t="s">
        <v>2924</v>
      </c>
      <c r="N1" s="3173" t="s">
        <v>2925</v>
      </c>
      <c r="O1" s="3173" t="s">
        <v>2926</v>
      </c>
      <c r="P1" s="3173" t="s">
        <v>2927</v>
      </c>
      <c r="Q1" s="3173" t="s">
        <v>2928</v>
      </c>
      <c r="R1" s="3173" t="s">
        <v>2929</v>
      </c>
      <c r="S1" s="3173" t="s">
        <v>2930</v>
      </c>
      <c r="T1" s="3173" t="s">
        <v>2931</v>
      </c>
      <c r="U1" s="3173" t="s">
        <v>2932</v>
      </c>
      <c r="V1" s="3173" t="s">
        <v>2933</v>
      </c>
    </row>
    <row r="2" spans="1:72" ht="54" customHeight="1" thickBot="1">
      <c r="B2" s="3186">
        <v>231</v>
      </c>
      <c r="C2" s="3187" t="s">
        <v>2951</v>
      </c>
      <c r="D2" s="3186" t="s">
        <v>2952</v>
      </c>
      <c r="E2" s="3186" t="s">
        <v>2953</v>
      </c>
      <c r="F2" s="3186" t="s">
        <v>2954</v>
      </c>
      <c r="G2" s="3186" t="s">
        <v>2955</v>
      </c>
      <c r="H2" s="3186" t="s">
        <v>2956</v>
      </c>
      <c r="I2" s="3186" t="s">
        <v>2957</v>
      </c>
      <c r="J2" s="3186" t="s">
        <v>2914</v>
      </c>
      <c r="K2" s="3186">
        <v>100.9</v>
      </c>
      <c r="L2" s="3186" t="s">
        <v>2886</v>
      </c>
      <c r="M2" s="3186" t="s">
        <v>2958</v>
      </c>
      <c r="N2" s="3186">
        <v>1</v>
      </c>
      <c r="O2" s="3186">
        <v>2006</v>
      </c>
      <c r="P2" s="3186" t="s">
        <v>1240</v>
      </c>
      <c r="Q2" s="3186"/>
      <c r="R2" s="3186" t="s">
        <v>1240</v>
      </c>
      <c r="S2" s="3186">
        <v>6938</v>
      </c>
      <c r="T2" s="3186">
        <v>3830</v>
      </c>
      <c r="U2" s="3186">
        <v>386447</v>
      </c>
      <c r="V2" s="3188">
        <v>39366</v>
      </c>
    </row>
    <row r="3" spans="1:72" ht="15.75">
      <c r="A3" s="3212" t="s">
        <v>2751</v>
      </c>
      <c r="B3" s="3213" t="s">
        <v>3010</v>
      </c>
      <c r="C3" s="3212" t="s">
        <v>3011</v>
      </c>
      <c r="D3" s="3212" t="s">
        <v>3012</v>
      </c>
      <c r="E3" s="3212" t="s">
        <v>3013</v>
      </c>
      <c r="F3" s="3212" t="s">
        <v>3014</v>
      </c>
      <c r="G3" s="3212" t="s">
        <v>3015</v>
      </c>
      <c r="H3" s="3212" t="s">
        <v>3016</v>
      </c>
      <c r="I3" s="3212" t="s">
        <v>3017</v>
      </c>
      <c r="J3" s="3212" t="s">
        <v>3018</v>
      </c>
      <c r="K3" s="3213" t="s">
        <v>3019</v>
      </c>
      <c r="L3" s="3214" t="s">
        <v>3020</v>
      </c>
      <c r="M3" s="3213" t="s">
        <v>3021</v>
      </c>
      <c r="N3" s="3213" t="s">
        <v>3022</v>
      </c>
      <c r="O3" s="3213" t="s">
        <v>3023</v>
      </c>
      <c r="P3" s="3213" t="s">
        <v>3024</v>
      </c>
      <c r="Q3" s="3215" t="s">
        <v>3025</v>
      </c>
      <c r="R3" s="3213" t="s">
        <v>3026</v>
      </c>
      <c r="S3" s="3213" t="s">
        <v>3027</v>
      </c>
      <c r="T3" s="3216" t="s">
        <v>3028</v>
      </c>
      <c r="U3" s="3213" t="s">
        <v>3029</v>
      </c>
      <c r="V3" s="3213" t="s">
        <v>3030</v>
      </c>
      <c r="W3" s="3213" t="s">
        <v>3031</v>
      </c>
      <c r="X3" s="3216" t="s">
        <v>2761</v>
      </c>
      <c r="Y3" s="3213" t="s">
        <v>3032</v>
      </c>
      <c r="Z3" s="3213" t="s">
        <v>3033</v>
      </c>
      <c r="AA3" s="3213" t="s">
        <v>3034</v>
      </c>
      <c r="AB3" s="3213" t="s">
        <v>3035</v>
      </c>
      <c r="AC3" s="3213" t="s">
        <v>3036</v>
      </c>
      <c r="AD3" s="3217" t="s">
        <v>3037</v>
      </c>
      <c r="AE3" s="3212" t="s">
        <v>3038</v>
      </c>
      <c r="AF3" s="3213" t="s">
        <v>3039</v>
      </c>
      <c r="AG3" s="3213" t="s">
        <v>3040</v>
      </c>
      <c r="AH3" s="3213" t="s">
        <v>3041</v>
      </c>
      <c r="AI3" s="3213" t="s">
        <v>3042</v>
      </c>
      <c r="AJ3" s="3218" t="s">
        <v>3043</v>
      </c>
      <c r="AK3" s="3213" t="s">
        <v>3044</v>
      </c>
      <c r="AL3" s="3217" t="s">
        <v>3045</v>
      </c>
      <c r="AM3" s="3217" t="s">
        <v>3046</v>
      </c>
      <c r="AN3" s="3213" t="s">
        <v>3047</v>
      </c>
      <c r="AO3" s="3213" t="s">
        <v>3048</v>
      </c>
      <c r="AP3" s="3213" t="s">
        <v>3049</v>
      </c>
      <c r="AQ3" s="3213" t="s">
        <v>3050</v>
      </c>
      <c r="AR3" s="3219" t="s">
        <v>3051</v>
      </c>
      <c r="AS3" s="3219" t="s">
        <v>3033</v>
      </c>
      <c r="AT3" s="3219" t="s">
        <v>3034</v>
      </c>
      <c r="AU3" s="3219" t="s">
        <v>3052</v>
      </c>
      <c r="AV3" s="3217" t="s">
        <v>3053</v>
      </c>
      <c r="AW3" s="3220" t="s">
        <v>3054</v>
      </c>
      <c r="AX3" s="3221" t="s">
        <v>3055</v>
      </c>
      <c r="AY3" s="3222" t="s">
        <v>3056</v>
      </c>
      <c r="AZ3" s="3220" t="s">
        <v>3057</v>
      </c>
      <c r="BA3" s="3220" t="s">
        <v>3058</v>
      </c>
      <c r="BB3" s="3222" t="s">
        <v>3059</v>
      </c>
      <c r="BC3" s="3220" t="s">
        <v>3060</v>
      </c>
      <c r="BD3" s="3223" t="s">
        <v>3061</v>
      </c>
      <c r="BE3" s="3220" t="s">
        <v>3012</v>
      </c>
      <c r="BF3" s="3224" t="s">
        <v>3062</v>
      </c>
      <c r="BG3" s="3225" t="s">
        <v>3063</v>
      </c>
      <c r="BH3" s="3225" t="s">
        <v>3064</v>
      </c>
      <c r="BI3" s="3225" t="s">
        <v>3065</v>
      </c>
      <c r="BJ3" s="3226" t="s">
        <v>3066</v>
      </c>
      <c r="BK3" s="3227" t="s">
        <v>3067</v>
      </c>
      <c r="BL3" s="3219" t="s">
        <v>3068</v>
      </c>
      <c r="BM3" s="3228" t="s">
        <v>3069</v>
      </c>
      <c r="BN3" s="3228" t="s">
        <v>3070</v>
      </c>
      <c r="BO3" s="3228" t="s">
        <v>3071</v>
      </c>
      <c r="BP3" s="3228"/>
      <c r="BQ3" s="3219" t="s">
        <v>3072</v>
      </c>
      <c r="BR3" s="3219" t="s">
        <v>3073</v>
      </c>
      <c r="BS3" s="3229"/>
      <c r="BT3" s="3229"/>
    </row>
    <row r="4" spans="1:72" s="1234" customFormat="1" ht="14.25">
      <c r="A4" s="3185" t="s">
        <v>2964</v>
      </c>
      <c r="B4" s="3185" t="s">
        <v>2965</v>
      </c>
      <c r="C4" s="3191" t="s">
        <v>2966</v>
      </c>
      <c r="D4" s="3191" t="s">
        <v>2967</v>
      </c>
      <c r="E4" s="3185" t="s">
        <v>635</v>
      </c>
      <c r="F4" s="3192" t="s">
        <v>2968</v>
      </c>
      <c r="G4" s="3185"/>
      <c r="H4" s="3185" t="s">
        <v>2969</v>
      </c>
      <c r="I4" s="3185"/>
      <c r="J4" s="3191" t="s">
        <v>2970</v>
      </c>
      <c r="K4" s="3185"/>
      <c r="L4" s="3193">
        <v>98.74</v>
      </c>
      <c r="M4" s="3184">
        <v>17</v>
      </c>
      <c r="N4" s="3185" t="s">
        <v>2971</v>
      </c>
      <c r="O4" s="3185"/>
      <c r="P4" s="3185" t="s">
        <v>2972</v>
      </c>
      <c r="Q4" s="3194">
        <v>387061</v>
      </c>
      <c r="R4" s="3185">
        <v>3920</v>
      </c>
      <c r="S4" s="3195">
        <v>38.700000000000003</v>
      </c>
      <c r="T4" s="3196">
        <v>387000</v>
      </c>
      <c r="U4" s="3185">
        <v>3920</v>
      </c>
      <c r="V4" s="1089">
        <v>0.3</v>
      </c>
      <c r="W4" s="3195">
        <v>27.09</v>
      </c>
      <c r="X4" s="3197">
        <v>270900</v>
      </c>
      <c r="Y4" s="3185">
        <v>2007</v>
      </c>
      <c r="Z4" s="3198">
        <v>4</v>
      </c>
      <c r="AA4" s="3198">
        <v>25</v>
      </c>
      <c r="AB4" s="3185">
        <v>1160</v>
      </c>
      <c r="AC4" s="3185" t="s">
        <v>2973</v>
      </c>
      <c r="AD4" s="3185">
        <v>91302007040420</v>
      </c>
      <c r="AE4" s="1088" t="s">
        <v>2974</v>
      </c>
      <c r="AF4" s="3185" t="s">
        <v>2975</v>
      </c>
      <c r="AG4" s="3185" t="s">
        <v>2976</v>
      </c>
      <c r="AH4" s="3185" t="s">
        <v>2977</v>
      </c>
      <c r="AI4" s="3184" t="s">
        <v>2978</v>
      </c>
      <c r="AJ4" s="3199"/>
      <c r="AK4" s="3200">
        <v>4</v>
      </c>
      <c r="AL4" s="3198">
        <v>59</v>
      </c>
      <c r="AM4" s="3185"/>
      <c r="AN4" s="3184" t="s">
        <v>2979</v>
      </c>
      <c r="AO4" s="3198" t="s">
        <v>2980</v>
      </c>
      <c r="AP4" s="3185" t="s">
        <v>2974</v>
      </c>
      <c r="AQ4" s="3198" t="s">
        <v>2981</v>
      </c>
      <c r="AR4" s="3198" t="s">
        <v>2815</v>
      </c>
      <c r="AS4" s="3198" t="s">
        <v>2815</v>
      </c>
      <c r="AT4" s="3198" t="s">
        <v>2815</v>
      </c>
      <c r="AU4" s="3198"/>
      <c r="AV4" s="3198" t="s">
        <v>2977</v>
      </c>
      <c r="AW4" s="3198" t="s">
        <v>2982</v>
      </c>
      <c r="AX4" s="3198"/>
      <c r="AY4" s="3201"/>
      <c r="AZ4" s="3185" t="s">
        <v>2983</v>
      </c>
      <c r="BA4" s="3198"/>
      <c r="BB4" s="3201"/>
      <c r="BC4" s="3198"/>
      <c r="BD4" s="3202"/>
      <c r="BE4" s="3198"/>
      <c r="BF4" s="3203"/>
      <c r="BG4" s="3204">
        <v>39191</v>
      </c>
      <c r="BH4" s="3198"/>
      <c r="BI4" s="3205" t="s">
        <v>2974</v>
      </c>
      <c r="BJ4" s="3206">
        <v>39192</v>
      </c>
      <c r="BK4" s="3207"/>
      <c r="BL4" s="3185" t="s">
        <v>2984</v>
      </c>
      <c r="BM4" s="3185" t="s">
        <v>2985</v>
      </c>
      <c r="BN4" s="3185" t="s">
        <v>2986</v>
      </c>
      <c r="BO4" s="3185" t="s">
        <v>2987</v>
      </c>
      <c r="BP4" s="3198"/>
      <c r="BQ4" s="3198" t="e">
        <v>#DIV/0!</v>
      </c>
      <c r="BR4" s="3198" t="e">
        <v>#DIV/0!</v>
      </c>
      <c r="BS4" s="3208" t="s">
        <v>2988</v>
      </c>
      <c r="BT4" s="3208" t="s">
        <v>2989</v>
      </c>
    </row>
    <row r="5" spans="1:72" s="1234" customFormat="1">
      <c r="A5" s="3185" t="s">
        <v>2990</v>
      </c>
      <c r="B5" s="3185" t="s">
        <v>2991</v>
      </c>
      <c r="C5" s="3185" t="s">
        <v>2992</v>
      </c>
      <c r="D5" s="3185" t="s">
        <v>2993</v>
      </c>
      <c r="E5" s="3185" t="s">
        <v>2994</v>
      </c>
      <c r="F5" s="3185" t="s">
        <v>2995</v>
      </c>
      <c r="G5" s="3185"/>
      <c r="H5" s="3185"/>
      <c r="I5" s="3185"/>
      <c r="J5" s="3185" t="s">
        <v>2996</v>
      </c>
      <c r="K5" s="3185" t="s">
        <v>2997</v>
      </c>
      <c r="L5" s="3193">
        <v>114.03</v>
      </c>
      <c r="M5" s="3184">
        <v>3</v>
      </c>
      <c r="N5" s="3185" t="s">
        <v>2998</v>
      </c>
      <c r="O5" s="3185"/>
      <c r="P5" s="3185" t="s">
        <v>2972</v>
      </c>
      <c r="Q5" s="3194">
        <v>429893</v>
      </c>
      <c r="R5" s="3185">
        <v>3770</v>
      </c>
      <c r="S5" s="3195">
        <v>42.98</v>
      </c>
      <c r="T5" s="3196">
        <v>429799.99999999994</v>
      </c>
      <c r="U5" s="3185">
        <v>3770</v>
      </c>
      <c r="V5" s="1089">
        <v>0.3</v>
      </c>
      <c r="W5" s="3195">
        <v>30.08</v>
      </c>
      <c r="X5" s="3197">
        <v>300800</v>
      </c>
      <c r="Y5" s="3185">
        <v>2007</v>
      </c>
      <c r="Z5" s="3185">
        <v>7</v>
      </c>
      <c r="AA5" s="3185">
        <v>24</v>
      </c>
      <c r="AB5" s="3185">
        <v>1285</v>
      </c>
      <c r="AC5" s="3185" t="s">
        <v>2989</v>
      </c>
      <c r="AD5" s="3185" t="s">
        <v>2999</v>
      </c>
      <c r="AE5" s="3185" t="s">
        <v>3000</v>
      </c>
      <c r="AF5" s="3185" t="s">
        <v>2975</v>
      </c>
      <c r="AG5" s="3185" t="s">
        <v>2976</v>
      </c>
      <c r="AH5" s="3185"/>
      <c r="AI5" s="3185" t="s">
        <v>3001</v>
      </c>
      <c r="AJ5" s="3185"/>
      <c r="AK5" s="3185" t="s">
        <v>3002</v>
      </c>
      <c r="AL5" s="3185">
        <v>59</v>
      </c>
      <c r="AM5" s="3185"/>
      <c r="AN5" s="3185" t="s">
        <v>3003</v>
      </c>
      <c r="AO5" s="3185" t="s">
        <v>2977</v>
      </c>
      <c r="AP5" s="3185" t="s">
        <v>3004</v>
      </c>
      <c r="AQ5" s="3185" t="s">
        <v>3005</v>
      </c>
      <c r="AR5" s="3185"/>
      <c r="AS5" s="3185"/>
      <c r="AT5" s="3185"/>
      <c r="AU5" s="3185"/>
      <c r="AV5" s="3185"/>
      <c r="AW5" s="3185" t="s">
        <v>3006</v>
      </c>
      <c r="AX5" s="3185"/>
      <c r="AY5" s="3191"/>
      <c r="AZ5" s="3185" t="s">
        <v>2997</v>
      </c>
      <c r="BA5" s="3185" t="s">
        <v>2977</v>
      </c>
      <c r="BB5" s="3191"/>
      <c r="BC5" s="3185"/>
      <c r="BD5" s="3209"/>
      <c r="BE5" s="3185"/>
      <c r="BF5" s="3210"/>
      <c r="BG5" s="3199">
        <v>39287</v>
      </c>
      <c r="BH5" s="3185"/>
      <c r="BI5" s="3185" t="s">
        <v>3000</v>
      </c>
      <c r="BJ5" s="3211">
        <v>39287</v>
      </c>
      <c r="BK5" s="3211"/>
      <c r="BL5" s="3185" t="s">
        <v>3007</v>
      </c>
      <c r="BM5" s="3185" t="s">
        <v>2881</v>
      </c>
      <c r="BN5" s="3185" t="s">
        <v>3008</v>
      </c>
      <c r="BO5" s="3185" t="s">
        <v>3009</v>
      </c>
      <c r="BP5" s="3185"/>
      <c r="BQ5" s="3198" t="e">
        <v>#DIV/0!</v>
      </c>
      <c r="BR5" s="3198" t="e">
        <v>#DIV/0!</v>
      </c>
      <c r="BS5" s="3208" t="s">
        <v>3000</v>
      </c>
      <c r="BT5" s="3208" t="s">
        <v>2989</v>
      </c>
    </row>
    <row r="6" spans="1:72" s="1234" customFormat="1">
      <c r="A6" s="3185" t="s">
        <v>3074</v>
      </c>
      <c r="B6" s="3185" t="s">
        <v>3079</v>
      </c>
      <c r="C6" s="3191" t="s">
        <v>3080</v>
      </c>
      <c r="D6" s="3192">
        <v>13601244363</v>
      </c>
      <c r="E6" s="3185" t="s">
        <v>635</v>
      </c>
      <c r="F6" s="3185" t="s">
        <v>3094</v>
      </c>
      <c r="G6" s="3185"/>
      <c r="H6" s="3185" t="s">
        <v>3075</v>
      </c>
      <c r="I6" s="3185"/>
      <c r="J6" s="3185" t="s">
        <v>3081</v>
      </c>
      <c r="K6" s="3185" t="s">
        <v>3082</v>
      </c>
      <c r="L6" s="3193">
        <v>87.77</v>
      </c>
      <c r="M6" s="3184">
        <v>1</v>
      </c>
      <c r="N6" s="3185" t="s">
        <v>3083</v>
      </c>
      <c r="O6" s="3185">
        <v>78.69</v>
      </c>
      <c r="P6" s="3185" t="s">
        <v>3084</v>
      </c>
      <c r="Q6" s="3194">
        <v>351080</v>
      </c>
      <c r="R6" s="3185">
        <v>4000</v>
      </c>
      <c r="S6" s="3195">
        <v>35.1</v>
      </c>
      <c r="T6" s="3196">
        <v>351000</v>
      </c>
      <c r="U6" s="3185">
        <v>4000</v>
      </c>
      <c r="V6" s="1089">
        <v>0.2</v>
      </c>
      <c r="W6" s="3195">
        <v>28.08</v>
      </c>
      <c r="X6" s="3197">
        <v>280800</v>
      </c>
      <c r="Y6" s="3185">
        <v>2007</v>
      </c>
      <c r="Z6" s="3185">
        <v>1</v>
      </c>
      <c r="AA6" s="3185">
        <v>29</v>
      </c>
      <c r="AB6" s="3185">
        <v>1050</v>
      </c>
      <c r="AC6" s="3185" t="s">
        <v>2973</v>
      </c>
      <c r="AD6" s="3230" t="s">
        <v>3085</v>
      </c>
      <c r="AE6" s="1088" t="s">
        <v>3086</v>
      </c>
      <c r="AF6" s="3185" t="s">
        <v>3087</v>
      </c>
      <c r="AG6" s="3185" t="s">
        <v>3088</v>
      </c>
      <c r="AH6" s="3185"/>
      <c r="AI6" s="3184" t="s">
        <v>2978</v>
      </c>
      <c r="AJ6" s="3185"/>
      <c r="AK6" s="3185" t="s">
        <v>3089</v>
      </c>
      <c r="AL6" s="3185" t="s">
        <v>3090</v>
      </c>
      <c r="AM6" s="3185"/>
      <c r="AN6" s="3185" t="s">
        <v>3091</v>
      </c>
      <c r="AO6" s="3185" t="s">
        <v>2977</v>
      </c>
      <c r="AP6" s="3184" t="s">
        <v>3086</v>
      </c>
      <c r="AQ6" s="3185" t="s">
        <v>3092</v>
      </c>
      <c r="AR6" s="3185">
        <v>2007</v>
      </c>
      <c r="AS6" s="3185">
        <v>1</v>
      </c>
      <c r="AT6" s="3185">
        <v>29</v>
      </c>
      <c r="AU6" s="3185"/>
      <c r="AV6" s="3185"/>
      <c r="AW6" s="3185" t="s">
        <v>2982</v>
      </c>
      <c r="AX6" s="3185"/>
      <c r="AY6" s="3185"/>
      <c r="AZ6" s="3185" t="s">
        <v>3082</v>
      </c>
      <c r="BA6" s="3185"/>
      <c r="BB6" s="3185"/>
      <c r="BC6" s="3185"/>
      <c r="BD6" s="3185"/>
      <c r="BE6" s="3185"/>
      <c r="BF6" s="3185"/>
      <c r="BG6" s="3199">
        <v>39080</v>
      </c>
      <c r="BH6" s="3185"/>
      <c r="BI6" s="3185" t="s">
        <v>3086</v>
      </c>
      <c r="BJ6" s="3199">
        <v>39091</v>
      </c>
      <c r="BK6" s="3185"/>
      <c r="BL6" s="3185" t="s">
        <v>3007</v>
      </c>
      <c r="BM6" s="3185" t="s">
        <v>2881</v>
      </c>
      <c r="BN6" s="3185" t="s">
        <v>3076</v>
      </c>
      <c r="BO6" s="3185" t="s">
        <v>3077</v>
      </c>
      <c r="BP6" s="3185"/>
      <c r="BQ6" s="3198">
        <v>4461</v>
      </c>
      <c r="BR6" s="3198">
        <v>4462</v>
      </c>
      <c r="BS6" s="3208" t="s">
        <v>3078</v>
      </c>
      <c r="BT6" s="3208" t="s">
        <v>2989</v>
      </c>
    </row>
    <row r="8" spans="1:72">
      <c r="V8" s="3232" t="s">
        <v>2940</v>
      </c>
    </row>
    <row r="9" spans="1:72">
      <c r="V9" s="3232" t="s">
        <v>3093</v>
      </c>
    </row>
    <row r="13" spans="1:72" ht="14.25">
      <c r="BJ13" s="3231" t="s">
        <v>3095</v>
      </c>
    </row>
  </sheetData>
  <phoneticPr fontId="146"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W68"/>
  <sheetViews>
    <sheetView workbookViewId="0">
      <selection activeCell="F27" sqref="F27"/>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40002</v>
      </c>
      <c r="D1" s="1293" t="s">
        <v>1173</v>
      </c>
      <c r="E1" s="1299">
        <f>'数据-取费表'!B24</f>
        <v>1</v>
      </c>
      <c r="F1" s="1293" t="s">
        <v>1174</v>
      </c>
      <c r="G1" s="1300">
        <f ca="1">INDIRECT("d"&amp;$K$1)/100</f>
        <v>5.3099999999999994E-2</v>
      </c>
      <c r="H1" s="1293" t="s">
        <v>1204</v>
      </c>
      <c r="I1" s="1300">
        <f ca="1">F4/100</f>
        <v>2.2499999999999999E-2</v>
      </c>
      <c r="J1" s="1294">
        <f>IF(C1&gt;C13,0,MATCH(C1,C$13:C$105,-1))+IF(SUMIF(C13:C105,C1,D13:D105)=0,13,12)</f>
        <v>31</v>
      </c>
      <c r="K1" s="1294">
        <f ca="1">MATCH(E1,C3:C7,1)+IF(SUMIF(C3:C7,E1,D3:D7)=0,2,1)</f>
        <v>4</v>
      </c>
      <c r="L1" s="1294">
        <f>IF(C1&gt;M13,0,MATCH(C1,M$13:M$101,-1))+IF(SUMIF(M13:M101,C1,N13:N101)=0,13,12)</f>
        <v>27</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0" customFormat="1" ht="14.25">
      <c r="A17" s="3147"/>
      <c r="B17" s="1280" t="s">
        <v>2885</v>
      </c>
      <c r="C17" s="1289">
        <v>43697</v>
      </c>
      <c r="D17" s="3148">
        <v>4.25</v>
      </c>
      <c r="E17" s="3148">
        <f>D17</f>
        <v>4.25</v>
      </c>
      <c r="F17" s="3148">
        <f>D17</f>
        <v>4.25</v>
      </c>
      <c r="G17" s="3148">
        <f>D17</f>
        <v>4.25</v>
      </c>
      <c r="H17" s="3148">
        <v>4.8499999999999996</v>
      </c>
      <c r="I17" s="3148"/>
      <c r="J17" s="3148"/>
      <c r="K17" s="3147"/>
      <c r="L17" s="1286"/>
      <c r="M17" s="1287">
        <v>42135</v>
      </c>
      <c r="N17" s="1286">
        <v>0.35</v>
      </c>
      <c r="O17" s="1286">
        <v>1.85</v>
      </c>
      <c r="P17" s="1286">
        <v>2.0499999999999998</v>
      </c>
      <c r="Q17" s="1286">
        <v>2.25</v>
      </c>
      <c r="R17" s="1286">
        <v>2.85</v>
      </c>
      <c r="S17" s="1286">
        <v>3.5</v>
      </c>
      <c r="T17" s="1286"/>
      <c r="U17" s="1286"/>
      <c r="V17" s="1286"/>
      <c r="W17" s="1286"/>
      <c r="X17" s="1286"/>
      <c r="Y17" s="1286"/>
      <c r="Z17" s="1286"/>
      <c r="AA17" s="3149"/>
      <c r="AB17" s="3149"/>
      <c r="AC17" s="3149"/>
      <c r="AD17" s="3149"/>
      <c r="AE17" s="3149"/>
      <c r="AF17" s="3149"/>
      <c r="AG17" s="3149"/>
      <c r="AH17" s="3149"/>
      <c r="AI17" s="3149"/>
      <c r="AJ17" s="3149"/>
      <c r="AK17" s="3149"/>
      <c r="AL17" s="3149"/>
      <c r="AM17" s="3149"/>
      <c r="AN17" s="3149"/>
      <c r="AO17" s="3149"/>
      <c r="AP17" s="3149"/>
      <c r="AQ17" s="3149"/>
      <c r="AR17" s="3149"/>
      <c r="AS17" s="3149"/>
      <c r="AT17" s="3149"/>
      <c r="AU17" s="3149"/>
      <c r="AV17" s="3149"/>
      <c r="AW17" s="3149"/>
      <c r="AX17" s="3149"/>
      <c r="AY17" s="3149"/>
      <c r="AZ17" s="3149"/>
      <c r="BA17" s="3149"/>
      <c r="BB17" s="3149"/>
      <c r="BC17" s="3149"/>
      <c r="BD17" s="3149"/>
      <c r="BE17" s="3149"/>
      <c r="BF17" s="3149"/>
      <c r="BG17" s="3149"/>
      <c r="BH17" s="3149"/>
      <c r="BI17" s="3149"/>
      <c r="BJ17" s="3149"/>
      <c r="BK17" s="3149"/>
      <c r="BL17" s="3149"/>
      <c r="BM17" s="3149"/>
      <c r="BN17" s="3149"/>
      <c r="BO17" s="3149"/>
      <c r="BP17" s="3149"/>
      <c r="BQ17" s="3149"/>
      <c r="BR17" s="3149"/>
      <c r="BS17" s="3149"/>
      <c r="BT17" s="3149"/>
      <c r="BU17" s="3149"/>
      <c r="BV17" s="3149"/>
      <c r="BW17" s="3149"/>
      <c r="BX17" s="3149"/>
      <c r="BY17" s="3149"/>
      <c r="BZ17" s="3149"/>
      <c r="CA17" s="3149"/>
      <c r="CB17" s="3149"/>
      <c r="CC17" s="3149"/>
      <c r="CD17" s="3149"/>
      <c r="CE17" s="3149"/>
      <c r="CF17" s="3149"/>
      <c r="CG17" s="3149"/>
      <c r="CH17" s="3149"/>
      <c r="CI17" s="3149"/>
      <c r="CJ17" s="3149"/>
      <c r="CK17" s="3149"/>
      <c r="CL17" s="3149"/>
      <c r="CM17" s="3149"/>
      <c r="CN17" s="3149"/>
      <c r="CO17" s="3149"/>
      <c r="CP17" s="3149"/>
      <c r="CQ17" s="3149"/>
      <c r="CR17" s="3149"/>
      <c r="CS17" s="3149"/>
      <c r="CT17" s="3149"/>
      <c r="CU17" s="3149"/>
      <c r="CV17" s="3149"/>
      <c r="CW17" s="3149"/>
      <c r="CX17" s="3149"/>
      <c r="CY17" s="3149"/>
      <c r="CZ17" s="3149"/>
      <c r="DA17" s="3149"/>
      <c r="DB17" s="3149"/>
      <c r="DC17" s="3149"/>
      <c r="DD17" s="3149"/>
      <c r="DE17" s="3149"/>
      <c r="DF17" s="3149"/>
      <c r="DG17" s="3149"/>
      <c r="DH17" s="3149"/>
      <c r="DI17" s="3149"/>
      <c r="DJ17" s="3149"/>
      <c r="DK17" s="3149"/>
      <c r="DL17" s="3149"/>
      <c r="DM17" s="3149"/>
      <c r="DN17" s="3149"/>
      <c r="DO17" s="3149"/>
      <c r="DP17" s="3149"/>
      <c r="DQ17" s="3149"/>
      <c r="DR17" s="3149"/>
      <c r="DS17" s="3149"/>
      <c r="DT17" s="3149"/>
      <c r="DU17" s="3149"/>
      <c r="DV17" s="3149"/>
      <c r="DW17" s="3149"/>
      <c r="DX17" s="3149"/>
      <c r="DY17" s="3149"/>
      <c r="DZ17" s="3149"/>
      <c r="EA17" s="3149"/>
      <c r="EB17" s="3149"/>
      <c r="EC17" s="3149"/>
      <c r="ED17" s="3149"/>
      <c r="EE17" s="3149"/>
      <c r="EF17" s="3149"/>
      <c r="EG17" s="3149"/>
      <c r="EH17" s="3149"/>
      <c r="EI17" s="3149"/>
      <c r="EJ17" s="3149"/>
      <c r="EK17" s="3149"/>
      <c r="EL17" s="3149"/>
      <c r="EM17" s="3149"/>
      <c r="EN17" s="3149"/>
      <c r="EO17" s="3149"/>
      <c r="EP17" s="3149"/>
      <c r="EQ17" s="3149"/>
      <c r="ER17" s="3149"/>
      <c r="ES17" s="3149"/>
      <c r="ET17" s="3149"/>
      <c r="EU17" s="3149"/>
      <c r="EV17" s="3149"/>
      <c r="EW17" s="3149"/>
      <c r="EX17" s="3149"/>
      <c r="EY17" s="3149"/>
      <c r="EZ17" s="3149"/>
      <c r="FA17" s="3149"/>
      <c r="FB17" s="3149"/>
      <c r="FC17" s="3149"/>
      <c r="FD17" s="3149"/>
      <c r="FE17" s="3149"/>
      <c r="FF17" s="3149"/>
      <c r="FG17" s="3149"/>
      <c r="FH17" s="3149"/>
      <c r="FI17" s="3149"/>
      <c r="FJ17" s="3149"/>
      <c r="FK17" s="3149"/>
      <c r="FL17" s="3149"/>
      <c r="FM17" s="3149"/>
      <c r="FN17" s="3149"/>
      <c r="FO17" s="3149"/>
      <c r="FP17" s="3149"/>
      <c r="FQ17" s="3149"/>
      <c r="FR17" s="3149"/>
      <c r="FS17" s="3149"/>
      <c r="FT17" s="3149"/>
      <c r="FU17" s="3149"/>
      <c r="FV17" s="3149"/>
      <c r="FW17" s="3149"/>
      <c r="FX17" s="3149"/>
      <c r="FY17" s="3149"/>
      <c r="FZ17" s="3149"/>
      <c r="GA17" s="3149"/>
      <c r="GB17" s="3149"/>
      <c r="GC17" s="3149"/>
      <c r="GD17" s="3149"/>
      <c r="GE17" s="3149"/>
      <c r="GF17" s="3149"/>
      <c r="GG17" s="3149"/>
      <c r="GH17" s="3149"/>
      <c r="GI17" s="3149"/>
      <c r="GJ17" s="3149"/>
      <c r="GK17" s="3149"/>
      <c r="GL17" s="3149"/>
      <c r="GM17" s="3149"/>
      <c r="GN17" s="3149"/>
      <c r="GO17" s="3149"/>
      <c r="GP17" s="3149"/>
      <c r="GQ17" s="3149"/>
      <c r="GR17" s="3149"/>
      <c r="GS17" s="3149"/>
      <c r="GT17" s="3149"/>
      <c r="GU17" s="3149"/>
      <c r="GV17" s="3149"/>
      <c r="GW17" s="3149"/>
      <c r="GX17" s="3149"/>
      <c r="GY17" s="3149"/>
      <c r="GZ17" s="3149"/>
      <c r="HA17" s="3149"/>
      <c r="HB17" s="3149"/>
      <c r="HC17" s="3149"/>
      <c r="HD17" s="3149"/>
      <c r="HE17" s="3149"/>
      <c r="HF17" s="3149"/>
      <c r="HG17" s="3149"/>
      <c r="HH17" s="3149"/>
      <c r="HI17" s="3149"/>
      <c r="HJ17" s="3149"/>
      <c r="HK17" s="3149"/>
      <c r="HL17" s="3149"/>
      <c r="HM17" s="3149"/>
      <c r="HN17" s="3149"/>
      <c r="HO17" s="3149"/>
      <c r="HP17" s="3149"/>
      <c r="HQ17" s="3149"/>
      <c r="HR17" s="3149"/>
      <c r="HS17" s="3149"/>
      <c r="HT17" s="3149"/>
      <c r="HU17" s="3149"/>
      <c r="HV17" s="3149"/>
      <c r="HW17" s="3149"/>
      <c r="HX17" s="3149"/>
      <c r="HY17" s="3149"/>
      <c r="HZ17" s="3149"/>
      <c r="IA17" s="3149"/>
      <c r="IB17" s="3149"/>
      <c r="IC17" s="3149"/>
      <c r="ID17" s="3149"/>
      <c r="IE17" s="3149"/>
      <c r="IF17" s="3149"/>
      <c r="IG17" s="3149"/>
      <c r="IH17" s="3149"/>
      <c r="II17" s="3149"/>
      <c r="IJ17" s="3149"/>
      <c r="IK17" s="3149"/>
      <c r="IL17" s="3149"/>
      <c r="IM17" s="3149"/>
      <c r="IN17" s="3149"/>
      <c r="IO17" s="3149"/>
      <c r="IP17" s="3149"/>
      <c r="IQ17" s="3149"/>
      <c r="IR17" s="3149"/>
      <c r="IS17" s="3149"/>
      <c r="IT17" s="3149"/>
      <c r="IU17" s="3149"/>
      <c r="IV17" s="3149"/>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U67"/>
  <sheetViews>
    <sheetView topLeftCell="A2" workbookViewId="0">
      <pane xSplit="11" ySplit="1" topLeftCell="P24" activePane="bottomRight" state="frozen"/>
      <selection activeCell="A2" sqref="A2"/>
      <selection pane="topRight" activeCell="L2" sqref="L2"/>
      <selection pane="bottomLeft" activeCell="A3" sqref="A3"/>
      <selection pane="bottomRight" activeCell="I39" sqref="I39"/>
    </sheetView>
  </sheetViews>
  <sheetFormatPr defaultRowHeight="13.5"/>
  <cols>
    <col min="1" max="2" width="9" style="3253"/>
    <col min="3" max="5" width="9" style="3253" customWidth="1"/>
    <col min="6" max="7" width="9" style="3253"/>
    <col min="8" max="11" width="9" style="3253" customWidth="1"/>
    <col min="12" max="13" width="9" style="3253"/>
    <col min="14" max="16" width="9" style="3253" customWidth="1"/>
    <col min="17" max="17" width="9" style="3253"/>
    <col min="18" max="18" width="9" style="3254"/>
    <col min="19" max="24" width="0" style="3253" hidden="1" customWidth="1"/>
    <col min="25" max="68" width="9" style="3253"/>
    <col min="69" max="69" width="13.625" style="3253" customWidth="1"/>
    <col min="70" max="70" width="13.875" style="3253" customWidth="1"/>
    <col min="71" max="16384" width="9" style="3253"/>
  </cols>
  <sheetData>
    <row r="1" spans="1:255" hidden="1">
      <c r="A1" s="3396"/>
      <c r="B1" s="3385"/>
      <c r="C1" s="3395"/>
      <c r="D1" s="3395"/>
      <c r="E1" s="3395"/>
      <c r="F1" s="3395"/>
      <c r="G1" s="3395"/>
      <c r="H1" s="3395"/>
      <c r="I1" s="3395"/>
      <c r="J1" s="3395"/>
      <c r="K1" s="3392"/>
      <c r="L1" s="3388"/>
      <c r="M1" s="3390"/>
      <c r="N1" s="3388"/>
      <c r="O1" s="3390"/>
      <c r="P1" s="3388"/>
      <c r="Q1" s="3390"/>
      <c r="R1" s="3394"/>
      <c r="S1" s="3388"/>
      <c r="T1" s="3393"/>
      <c r="U1" s="3388"/>
      <c r="V1" s="3392" t="s">
        <v>3700</v>
      </c>
      <c r="W1" s="3392"/>
      <c r="X1" s="3391"/>
      <c r="Y1" s="3388"/>
      <c r="Z1" s="3390" t="s">
        <v>3699</v>
      </c>
      <c r="AA1" s="3388"/>
      <c r="AB1" s="3388"/>
      <c r="AC1" s="3388"/>
      <c r="AD1" s="3389"/>
      <c r="AE1" s="3388"/>
      <c r="AF1" s="3385"/>
      <c r="AG1" s="3385"/>
      <c r="AH1" s="3387"/>
      <c r="AI1" s="3385"/>
      <c r="AJ1" s="3386"/>
      <c r="AK1" s="3385"/>
      <c r="AL1" s="3238"/>
      <c r="AM1" s="3377"/>
      <c r="AN1" s="3236" t="s">
        <v>3698</v>
      </c>
      <c r="AO1" s="3236" t="s">
        <v>3697</v>
      </c>
      <c r="AP1" s="3236"/>
      <c r="AQ1" s="3236"/>
      <c r="AR1" s="3240"/>
      <c r="AS1" s="3240" t="s">
        <v>3696</v>
      </c>
      <c r="AT1" s="3240"/>
      <c r="AU1" s="3240"/>
      <c r="AV1" s="3236"/>
      <c r="AW1" s="3380"/>
      <c r="AX1" s="3380"/>
      <c r="AY1" s="3384"/>
      <c r="AZ1" s="3380"/>
      <c r="BA1" s="3380"/>
      <c r="BB1" s="3384"/>
      <c r="BC1" s="3380"/>
      <c r="BD1" s="3383"/>
      <c r="BE1" s="3380"/>
      <c r="BF1" s="3382"/>
      <c r="BG1" s="3381"/>
      <c r="BH1" s="3380"/>
      <c r="BI1" s="3380"/>
      <c r="BJ1" s="3247" t="s">
        <v>3695</v>
      </c>
      <c r="BK1" s="3248" t="s">
        <v>3694</v>
      </c>
      <c r="BL1" s="3379"/>
      <c r="BM1" s="3249"/>
      <c r="BN1" s="3249"/>
      <c r="BO1" s="3249"/>
      <c r="BP1" s="3249"/>
      <c r="BQ1" s="3240"/>
      <c r="BR1" s="3240"/>
      <c r="BS1" s="3371"/>
      <c r="BT1" s="3371"/>
      <c r="BU1" s="3371"/>
    </row>
    <row r="2" spans="1:255" ht="15.75">
      <c r="A2" s="3235" t="s">
        <v>2751</v>
      </c>
      <c r="B2" s="3236" t="s">
        <v>3010</v>
      </c>
      <c r="C2" s="3235" t="s">
        <v>3011</v>
      </c>
      <c r="D2" s="3235" t="s">
        <v>3012</v>
      </c>
      <c r="E2" s="3235" t="s">
        <v>3013</v>
      </c>
      <c r="F2" s="3235" t="s">
        <v>3014</v>
      </c>
      <c r="G2" s="3235" t="s">
        <v>3015</v>
      </c>
      <c r="H2" s="3235" t="s">
        <v>3016</v>
      </c>
      <c r="I2" s="3235" t="s">
        <v>3017</v>
      </c>
      <c r="J2" s="3235" t="s">
        <v>3018</v>
      </c>
      <c r="K2" s="3236" t="s">
        <v>3019</v>
      </c>
      <c r="L2" s="3236" t="s">
        <v>3020</v>
      </c>
      <c r="M2" s="3236" t="s">
        <v>3021</v>
      </c>
      <c r="N2" s="3236" t="s">
        <v>3022</v>
      </c>
      <c r="O2" s="3236" t="s">
        <v>3023</v>
      </c>
      <c r="P2" s="3236" t="s">
        <v>3024</v>
      </c>
      <c r="Q2" s="3236" t="s">
        <v>3025</v>
      </c>
      <c r="R2" s="3378" t="s">
        <v>3026</v>
      </c>
      <c r="S2" s="3236" t="s">
        <v>3027</v>
      </c>
      <c r="T2" s="3237" t="s">
        <v>3028</v>
      </c>
      <c r="U2" s="3236" t="s">
        <v>3029</v>
      </c>
      <c r="V2" s="3236" t="s">
        <v>3030</v>
      </c>
      <c r="W2" s="3236" t="s">
        <v>3031</v>
      </c>
      <c r="X2" s="3237" t="s">
        <v>2761</v>
      </c>
      <c r="Y2" s="3236" t="s">
        <v>3032</v>
      </c>
      <c r="Z2" s="3236" t="s">
        <v>3033</v>
      </c>
      <c r="AA2" s="3236" t="s">
        <v>3034</v>
      </c>
      <c r="AB2" s="3236" t="s">
        <v>3035</v>
      </c>
      <c r="AC2" s="3236" t="s">
        <v>3036</v>
      </c>
      <c r="AD2" s="3238" t="s">
        <v>3037</v>
      </c>
      <c r="AE2" s="3236" t="s">
        <v>3038</v>
      </c>
      <c r="AF2" s="3236" t="s">
        <v>3039</v>
      </c>
      <c r="AG2" s="3236" t="s">
        <v>3040</v>
      </c>
      <c r="AH2" s="3236" t="s">
        <v>3041</v>
      </c>
      <c r="AI2" s="3236" t="s">
        <v>3042</v>
      </c>
      <c r="AJ2" s="3239" t="s">
        <v>3043</v>
      </c>
      <c r="AK2" s="3236" t="s">
        <v>3044</v>
      </c>
      <c r="AL2" s="3238" t="s">
        <v>3045</v>
      </c>
      <c r="AM2" s="3377" t="s">
        <v>3046</v>
      </c>
      <c r="AN2" s="3236" t="s">
        <v>3047</v>
      </c>
      <c r="AO2" s="3236" t="s">
        <v>3048</v>
      </c>
      <c r="AP2" s="3236" t="s">
        <v>3049</v>
      </c>
      <c r="AQ2" s="3236" t="s">
        <v>3050</v>
      </c>
      <c r="AR2" s="3240" t="s">
        <v>3051</v>
      </c>
      <c r="AS2" s="3240" t="s">
        <v>3033</v>
      </c>
      <c r="AT2" s="3240" t="s">
        <v>3034</v>
      </c>
      <c r="AU2" s="3240" t="s">
        <v>3052</v>
      </c>
      <c r="AV2" s="3238" t="s">
        <v>3053</v>
      </c>
      <c r="AW2" s="3241" t="s">
        <v>3054</v>
      </c>
      <c r="AX2" s="3242" t="s">
        <v>3055</v>
      </c>
      <c r="AY2" s="3243" t="s">
        <v>3056</v>
      </c>
      <c r="AZ2" s="3241" t="s">
        <v>3057</v>
      </c>
      <c r="BA2" s="3241" t="s">
        <v>3058</v>
      </c>
      <c r="BB2" s="3243" t="s">
        <v>3059</v>
      </c>
      <c r="BC2" s="3241" t="s">
        <v>3060</v>
      </c>
      <c r="BD2" s="3244" t="s">
        <v>3061</v>
      </c>
      <c r="BE2" s="3241" t="s">
        <v>3012</v>
      </c>
      <c r="BF2" s="3245" t="s">
        <v>3062</v>
      </c>
      <c r="BG2" s="3246" t="s">
        <v>3063</v>
      </c>
      <c r="BH2" s="3246" t="s">
        <v>3064</v>
      </c>
      <c r="BI2" s="3246" t="s">
        <v>3065</v>
      </c>
      <c r="BJ2" s="3247" t="s">
        <v>3066</v>
      </c>
      <c r="BK2" s="3248" t="s">
        <v>3067</v>
      </c>
      <c r="BL2" s="3240" t="s">
        <v>3068</v>
      </c>
      <c r="BM2" s="3249" t="s">
        <v>3069</v>
      </c>
      <c r="BN2" s="3249" t="s">
        <v>3070</v>
      </c>
      <c r="BO2" s="3249" t="s">
        <v>3071</v>
      </c>
      <c r="BP2" s="3249"/>
      <c r="BQ2" s="3240" t="s">
        <v>3072</v>
      </c>
      <c r="BR2" s="3240" t="s">
        <v>3073</v>
      </c>
      <c r="BS2" s="3376"/>
      <c r="BT2" s="3376"/>
      <c r="BU2" s="3376"/>
    </row>
    <row r="3" spans="1:255">
      <c r="A3" s="3345" t="s">
        <v>3693</v>
      </c>
      <c r="B3" s="3345" t="s">
        <v>3688</v>
      </c>
      <c r="C3" s="3354" t="s">
        <v>3692</v>
      </c>
      <c r="D3" s="3354" t="s">
        <v>3691</v>
      </c>
      <c r="E3" s="3355" t="s">
        <v>3135</v>
      </c>
      <c r="F3" s="3355" t="s">
        <v>3154</v>
      </c>
      <c r="G3" s="3337"/>
      <c r="H3" s="3337" t="s">
        <v>3690</v>
      </c>
      <c r="I3" s="3337" t="s">
        <v>3634</v>
      </c>
      <c r="J3" s="3354" t="s">
        <v>3689</v>
      </c>
      <c r="K3" s="3337" t="s">
        <v>3688</v>
      </c>
      <c r="L3" s="3337">
        <v>64.739999999999995</v>
      </c>
      <c r="M3" s="3337">
        <v>2</v>
      </c>
      <c r="N3" s="3337" t="s">
        <v>3149</v>
      </c>
      <c r="O3" s="3337"/>
      <c r="P3" s="3337" t="s">
        <v>2972</v>
      </c>
      <c r="Q3" s="3353">
        <v>470000</v>
      </c>
      <c r="R3" s="3352">
        <v>7260</v>
      </c>
      <c r="S3" s="3351">
        <v>44.34</v>
      </c>
      <c r="T3" s="3350">
        <v>443400.00000000006</v>
      </c>
      <c r="U3" s="3337">
        <v>6850</v>
      </c>
      <c r="V3" s="3349">
        <v>0.2</v>
      </c>
      <c r="W3" s="3348">
        <v>35.47</v>
      </c>
      <c r="X3" s="3347">
        <v>354700</v>
      </c>
      <c r="Y3" s="3336">
        <v>2008</v>
      </c>
      <c r="Z3" s="3336">
        <v>1</v>
      </c>
      <c r="AA3" s="3336">
        <v>11</v>
      </c>
      <c r="AB3" s="3337">
        <v>1330</v>
      </c>
      <c r="AC3" s="3337" t="s">
        <v>3140</v>
      </c>
      <c r="AD3" s="3346" t="s">
        <v>3687</v>
      </c>
      <c r="AE3" s="3336" t="s">
        <v>3147</v>
      </c>
      <c r="AF3" s="3337" t="s">
        <v>2975</v>
      </c>
      <c r="AG3" s="3337" t="s">
        <v>2976</v>
      </c>
      <c r="AH3" s="3345"/>
      <c r="AI3" s="3337" t="s">
        <v>3128</v>
      </c>
      <c r="AJ3" s="3344"/>
      <c r="AK3" s="3343" t="s">
        <v>3193</v>
      </c>
      <c r="AL3" s="3336">
        <v>38</v>
      </c>
      <c r="AM3" s="3336" t="s">
        <v>3686</v>
      </c>
      <c r="AN3" s="3337" t="s">
        <v>3234</v>
      </c>
      <c r="AO3" s="3336"/>
      <c r="AP3" s="3336" t="s">
        <v>3147</v>
      </c>
      <c r="AQ3" s="3337" t="s">
        <v>3125</v>
      </c>
      <c r="AR3" s="3336"/>
      <c r="AS3" s="3336"/>
      <c r="AT3" s="3336"/>
      <c r="AU3" s="3336"/>
      <c r="AV3" s="3336"/>
      <c r="AW3" s="3336" t="s">
        <v>3144</v>
      </c>
      <c r="AX3" s="3336"/>
      <c r="AY3" s="3342"/>
      <c r="AZ3" s="3336" t="s">
        <v>3685</v>
      </c>
      <c r="BA3" s="3336"/>
      <c r="BB3" s="3342"/>
      <c r="BC3" s="3336"/>
      <c r="BD3" s="3341"/>
      <c r="BE3" s="3336"/>
      <c r="BF3" s="3340"/>
      <c r="BG3" s="3339">
        <v>39449</v>
      </c>
      <c r="BH3" s="3336"/>
      <c r="BI3" s="3336" t="s">
        <v>3147</v>
      </c>
      <c r="BJ3" s="3338">
        <v>39456</v>
      </c>
      <c r="BK3" s="3338"/>
      <c r="BL3" s="3337" t="s">
        <v>3007</v>
      </c>
      <c r="BM3" s="3336" t="s">
        <v>2881</v>
      </c>
      <c r="BN3" s="3336" t="s">
        <v>3008</v>
      </c>
      <c r="BO3" s="3336" t="s">
        <v>3009</v>
      </c>
      <c r="BP3" s="3336"/>
      <c r="BQ3" s="3336" t="e">
        <v>#DIV/0!</v>
      </c>
      <c r="BR3" s="3336" t="e">
        <v>#DIV/0!</v>
      </c>
      <c r="BS3" s="3335" t="s">
        <v>3147</v>
      </c>
      <c r="BT3" s="3335" t="s">
        <v>3140</v>
      </c>
      <c r="BU3" s="3356"/>
      <c r="BV3" s="3356"/>
      <c r="BW3" s="3356"/>
      <c r="BX3" s="3356"/>
      <c r="BY3" s="3356"/>
      <c r="BZ3" s="3356"/>
      <c r="CA3" s="3356"/>
      <c r="CB3" s="3356"/>
      <c r="CC3" s="3356"/>
      <c r="CD3" s="3356"/>
      <c r="CE3" s="3356"/>
      <c r="CF3" s="3356"/>
      <c r="CG3" s="3356"/>
      <c r="CH3" s="3356"/>
      <c r="CI3" s="3356"/>
      <c r="CJ3" s="3356"/>
      <c r="CK3" s="3356"/>
      <c r="CL3" s="3356"/>
      <c r="CM3" s="3356"/>
      <c r="CN3" s="3356"/>
      <c r="CO3" s="3356"/>
      <c r="CP3" s="3356"/>
      <c r="CQ3" s="3356"/>
      <c r="CR3" s="3356"/>
      <c r="CS3" s="3356"/>
      <c r="CT3" s="3356"/>
      <c r="CU3" s="3356"/>
      <c r="CV3" s="3356"/>
      <c r="CW3" s="3356"/>
      <c r="CX3" s="3356"/>
      <c r="CY3" s="3356"/>
      <c r="CZ3" s="3356"/>
      <c r="DA3" s="3356"/>
      <c r="DB3" s="3356"/>
      <c r="DC3" s="3356"/>
      <c r="DD3" s="3356"/>
      <c r="DE3" s="3356"/>
      <c r="DF3" s="3356"/>
      <c r="DG3" s="3356"/>
      <c r="DH3" s="3356"/>
      <c r="DI3" s="3356"/>
      <c r="DJ3" s="3356"/>
      <c r="DK3" s="3356"/>
      <c r="DL3" s="3356"/>
      <c r="DM3" s="3356"/>
      <c r="DN3" s="3356"/>
      <c r="DO3" s="3356"/>
      <c r="DP3" s="3356"/>
      <c r="DQ3" s="3356"/>
      <c r="DR3" s="3356"/>
      <c r="DS3" s="3356"/>
      <c r="DT3" s="3356"/>
      <c r="DU3" s="3356"/>
      <c r="DV3" s="3356"/>
      <c r="DW3" s="3356"/>
      <c r="DX3" s="3356"/>
      <c r="DY3" s="3356"/>
      <c r="DZ3" s="3356"/>
      <c r="EA3" s="3356"/>
      <c r="EB3" s="3356"/>
      <c r="EC3" s="3356"/>
      <c r="ED3" s="3356"/>
      <c r="EE3" s="3356"/>
      <c r="EF3" s="3356"/>
      <c r="EG3" s="3356"/>
      <c r="EH3" s="3356"/>
      <c r="EI3" s="3356"/>
      <c r="EJ3" s="3356"/>
      <c r="EK3" s="3356"/>
      <c r="EL3" s="3356"/>
      <c r="EM3" s="3356"/>
      <c r="EN3" s="3356"/>
      <c r="EO3" s="3356"/>
      <c r="EP3" s="3356"/>
      <c r="EQ3" s="3356"/>
      <c r="ER3" s="3356"/>
      <c r="ES3" s="3356"/>
      <c r="ET3" s="3356"/>
      <c r="EU3" s="3356"/>
      <c r="EV3" s="3356"/>
      <c r="EW3" s="3356"/>
      <c r="EX3" s="3356"/>
      <c r="EY3" s="3356"/>
      <c r="EZ3" s="3356"/>
      <c r="FA3" s="3356"/>
      <c r="FB3" s="3356"/>
      <c r="FC3" s="3356"/>
      <c r="FD3" s="3356"/>
      <c r="FE3" s="3356"/>
      <c r="FF3" s="3356"/>
      <c r="FG3" s="3356"/>
      <c r="FH3" s="3356"/>
      <c r="FI3" s="3356"/>
      <c r="FJ3" s="3356"/>
      <c r="FK3" s="3356"/>
      <c r="FL3" s="3356"/>
      <c r="FM3" s="3356"/>
      <c r="FN3" s="3356"/>
      <c r="FO3" s="3356"/>
      <c r="FP3" s="3356"/>
      <c r="FQ3" s="3356"/>
      <c r="FR3" s="3356"/>
      <c r="FS3" s="3356"/>
      <c r="FT3" s="3356"/>
      <c r="FU3" s="3356"/>
      <c r="FV3" s="3356"/>
      <c r="FW3" s="3356"/>
      <c r="FX3" s="3356"/>
      <c r="FY3" s="3356"/>
      <c r="FZ3" s="3356"/>
      <c r="GA3" s="3356"/>
      <c r="GB3" s="3356"/>
      <c r="GC3" s="3356"/>
      <c r="GD3" s="3356"/>
      <c r="GE3" s="3356"/>
      <c r="GF3" s="3356"/>
      <c r="GG3" s="3356"/>
      <c r="GH3" s="3356"/>
      <c r="GI3" s="3356"/>
      <c r="GJ3" s="3356"/>
      <c r="GK3" s="3356"/>
      <c r="GL3" s="3356"/>
      <c r="GM3" s="3356"/>
      <c r="GN3" s="3356"/>
      <c r="GO3" s="3356"/>
      <c r="GP3" s="3356"/>
      <c r="GQ3" s="3356"/>
      <c r="GR3" s="3356"/>
      <c r="GS3" s="3356"/>
      <c r="GT3" s="3356"/>
      <c r="GU3" s="3356"/>
      <c r="GV3" s="3356"/>
      <c r="GW3" s="3356"/>
      <c r="GX3" s="3356"/>
      <c r="GY3" s="3356"/>
      <c r="GZ3" s="3356"/>
      <c r="HA3" s="3356"/>
      <c r="HB3" s="3356"/>
      <c r="HC3" s="3356"/>
      <c r="HD3" s="3356"/>
      <c r="HE3" s="3356"/>
      <c r="HF3" s="3356"/>
      <c r="HG3" s="3356"/>
      <c r="HH3" s="3356"/>
      <c r="HI3" s="3356"/>
      <c r="HJ3" s="3356"/>
      <c r="HK3" s="3356"/>
      <c r="HL3" s="3356"/>
      <c r="HM3" s="3356"/>
      <c r="HN3" s="3356"/>
      <c r="HO3" s="3356"/>
      <c r="HP3" s="3356"/>
      <c r="HQ3" s="3356"/>
      <c r="HR3" s="3356"/>
      <c r="HS3" s="3356"/>
      <c r="HT3" s="3356"/>
      <c r="HU3" s="3356"/>
      <c r="HV3" s="3356"/>
      <c r="HW3" s="3356"/>
      <c r="HX3" s="3356"/>
      <c r="HY3" s="3356"/>
      <c r="HZ3" s="3356"/>
      <c r="IA3" s="3356"/>
      <c r="IB3" s="3356"/>
      <c r="IC3" s="3356"/>
      <c r="ID3" s="3356"/>
      <c r="IE3" s="3356"/>
      <c r="IF3" s="3356"/>
      <c r="IG3" s="3356"/>
      <c r="IH3" s="3356"/>
      <c r="II3" s="3356"/>
      <c r="IJ3" s="3356"/>
      <c r="IK3" s="3356"/>
      <c r="IL3" s="3356"/>
      <c r="IM3" s="3356"/>
      <c r="IN3" s="3356"/>
      <c r="IO3" s="3356"/>
      <c r="IP3" s="3356"/>
      <c r="IQ3" s="3356"/>
      <c r="IR3" s="3356"/>
      <c r="IS3" s="3356"/>
      <c r="IT3" s="3356"/>
      <c r="IU3" s="3356"/>
    </row>
    <row r="4" spans="1:255">
      <c r="A4" s="3345" t="s">
        <v>3684</v>
      </c>
      <c r="B4" s="3337" t="s">
        <v>3681</v>
      </c>
      <c r="C4" s="3354" t="s">
        <v>3683</v>
      </c>
      <c r="D4" s="3354" t="s">
        <v>3682</v>
      </c>
      <c r="E4" s="3337" t="s">
        <v>3135</v>
      </c>
      <c r="F4" s="3355" t="s">
        <v>3134</v>
      </c>
      <c r="G4" s="3337"/>
      <c r="H4" s="3337" t="s">
        <v>3228</v>
      </c>
      <c r="I4" s="3337" t="s">
        <v>3651</v>
      </c>
      <c r="J4" s="3354" t="s">
        <v>3317</v>
      </c>
      <c r="K4" s="3337" t="s">
        <v>3681</v>
      </c>
      <c r="L4" s="3337">
        <v>40.35</v>
      </c>
      <c r="M4" s="3337">
        <v>3</v>
      </c>
      <c r="N4" s="3337" t="s">
        <v>3280</v>
      </c>
      <c r="O4" s="3337"/>
      <c r="P4" s="3337" t="s">
        <v>2972</v>
      </c>
      <c r="Q4" s="3353">
        <v>330000</v>
      </c>
      <c r="R4" s="3352">
        <v>8178</v>
      </c>
      <c r="S4" s="3351">
        <v>30.06</v>
      </c>
      <c r="T4" s="3350">
        <v>300600</v>
      </c>
      <c r="U4" s="3337">
        <v>7450</v>
      </c>
      <c r="V4" s="3349">
        <v>0.2</v>
      </c>
      <c r="W4" s="3348">
        <v>24.04</v>
      </c>
      <c r="X4" s="3347">
        <v>240400</v>
      </c>
      <c r="Y4" s="3336">
        <v>2008</v>
      </c>
      <c r="Z4" s="3336">
        <v>2</v>
      </c>
      <c r="AA4" s="3336">
        <v>20</v>
      </c>
      <c r="AB4" s="3337">
        <v>900</v>
      </c>
      <c r="AC4" s="3337" t="s">
        <v>3140</v>
      </c>
      <c r="AD4" s="3346" t="s">
        <v>3680</v>
      </c>
      <c r="AE4" s="3336" t="s">
        <v>3147</v>
      </c>
      <c r="AF4" s="3337" t="s">
        <v>2975</v>
      </c>
      <c r="AG4" s="3337" t="s">
        <v>2976</v>
      </c>
      <c r="AH4" s="3345"/>
      <c r="AI4" s="3337" t="s">
        <v>3128</v>
      </c>
      <c r="AJ4" s="3344"/>
      <c r="AK4" s="3343" t="s">
        <v>3234</v>
      </c>
      <c r="AL4" s="3336">
        <v>32</v>
      </c>
      <c r="AM4" s="3336" t="s">
        <v>3679</v>
      </c>
      <c r="AN4" s="3336" t="s">
        <v>3126</v>
      </c>
      <c r="AO4" s="3336"/>
      <c r="AP4" s="3336" t="s">
        <v>3601</v>
      </c>
      <c r="AQ4" s="3336" t="s">
        <v>3125</v>
      </c>
      <c r="AR4" s="3336"/>
      <c r="AS4" s="3336"/>
      <c r="AT4" s="3336"/>
      <c r="AU4" s="3336"/>
      <c r="AV4" s="3336"/>
      <c r="AW4" s="3336" t="s">
        <v>3144</v>
      </c>
      <c r="AX4" s="3336"/>
      <c r="AY4" s="3342"/>
      <c r="AZ4" s="3336" t="s">
        <v>3678</v>
      </c>
      <c r="BA4" s="3336"/>
      <c r="BB4" s="3342"/>
      <c r="BC4" s="3336"/>
      <c r="BD4" s="3341"/>
      <c r="BE4" s="3336"/>
      <c r="BF4" s="3340"/>
      <c r="BG4" s="3339">
        <v>39479</v>
      </c>
      <c r="BH4" s="3336"/>
      <c r="BI4" s="3336" t="s">
        <v>3147</v>
      </c>
      <c r="BJ4" s="3338">
        <v>39496</v>
      </c>
      <c r="BK4" s="3338"/>
      <c r="BL4" s="3337" t="s">
        <v>3007</v>
      </c>
      <c r="BM4" s="3336" t="s">
        <v>2881</v>
      </c>
      <c r="BN4" s="3336" t="s">
        <v>3122</v>
      </c>
      <c r="BO4" s="3336" t="s">
        <v>3009</v>
      </c>
      <c r="BP4" s="3336"/>
      <c r="BQ4" s="3336" t="e">
        <v>#DIV/0!</v>
      </c>
      <c r="BR4" s="3336" t="e">
        <v>#DIV/0!</v>
      </c>
      <c r="BS4" s="3335" t="s">
        <v>3147</v>
      </c>
      <c r="BT4" s="3335" t="s">
        <v>3140</v>
      </c>
      <c r="BU4" s="3356"/>
      <c r="BV4" s="3356"/>
      <c r="BW4" s="3356"/>
      <c r="BX4" s="3356"/>
      <c r="BY4" s="3356"/>
      <c r="BZ4" s="3356"/>
      <c r="CA4" s="3356"/>
      <c r="CB4" s="3356"/>
      <c r="CC4" s="3356"/>
      <c r="CD4" s="3356"/>
      <c r="CE4" s="3356"/>
      <c r="CF4" s="3356"/>
      <c r="CG4" s="3356"/>
      <c r="CH4" s="3356"/>
      <c r="CI4" s="3356"/>
      <c r="CJ4" s="3356"/>
      <c r="CK4" s="3356"/>
      <c r="CL4" s="3356"/>
      <c r="CM4" s="3356"/>
      <c r="CN4" s="3356"/>
      <c r="CO4" s="3356"/>
      <c r="CP4" s="3356"/>
      <c r="CQ4" s="3356"/>
      <c r="CR4" s="3356"/>
      <c r="CS4" s="3356"/>
      <c r="CT4" s="3356"/>
      <c r="CU4" s="3356"/>
      <c r="CV4" s="3356"/>
      <c r="CW4" s="3356"/>
      <c r="CX4" s="3356"/>
      <c r="CY4" s="3356"/>
      <c r="CZ4" s="3356"/>
      <c r="DA4" s="3356"/>
      <c r="DB4" s="3356"/>
      <c r="DC4" s="3356"/>
      <c r="DD4" s="3356"/>
      <c r="DE4" s="3356"/>
      <c r="DF4" s="3356"/>
      <c r="DG4" s="3356"/>
      <c r="DH4" s="3356"/>
      <c r="DI4" s="3356"/>
      <c r="DJ4" s="3356"/>
      <c r="DK4" s="3356"/>
      <c r="DL4" s="3356"/>
      <c r="DM4" s="3356"/>
      <c r="DN4" s="3356"/>
      <c r="DO4" s="3356"/>
      <c r="DP4" s="3356"/>
      <c r="DQ4" s="3356"/>
      <c r="DR4" s="3356"/>
      <c r="DS4" s="3356"/>
      <c r="DT4" s="3356"/>
      <c r="DU4" s="3356"/>
      <c r="DV4" s="3356"/>
      <c r="DW4" s="3356"/>
      <c r="DX4" s="3356"/>
      <c r="DY4" s="3356"/>
      <c r="DZ4" s="3356"/>
      <c r="EA4" s="3356"/>
      <c r="EB4" s="3356"/>
      <c r="EC4" s="3356"/>
      <c r="ED4" s="3356"/>
      <c r="EE4" s="3356"/>
      <c r="EF4" s="3356"/>
      <c r="EG4" s="3356"/>
      <c r="EH4" s="3356"/>
      <c r="EI4" s="3356"/>
      <c r="EJ4" s="3356"/>
      <c r="EK4" s="3356"/>
      <c r="EL4" s="3356"/>
      <c r="EM4" s="3356"/>
      <c r="EN4" s="3356"/>
      <c r="EO4" s="3356"/>
      <c r="EP4" s="3356"/>
      <c r="EQ4" s="3356"/>
      <c r="ER4" s="3356"/>
      <c r="ES4" s="3356"/>
      <c r="ET4" s="3356"/>
      <c r="EU4" s="3356"/>
      <c r="EV4" s="3356"/>
      <c r="EW4" s="3356"/>
      <c r="EX4" s="3356"/>
      <c r="EY4" s="3356"/>
      <c r="EZ4" s="3356"/>
      <c r="FA4" s="3356"/>
      <c r="FB4" s="3356"/>
      <c r="FC4" s="3356"/>
      <c r="FD4" s="3356"/>
      <c r="FE4" s="3356"/>
      <c r="FF4" s="3356"/>
      <c r="FG4" s="3356"/>
      <c r="FH4" s="3356"/>
      <c r="FI4" s="3356"/>
      <c r="FJ4" s="3356"/>
      <c r="FK4" s="3356"/>
      <c r="FL4" s="3356"/>
      <c r="FM4" s="3356"/>
      <c r="FN4" s="3356"/>
      <c r="FO4" s="3356"/>
      <c r="FP4" s="3356"/>
      <c r="FQ4" s="3356"/>
      <c r="FR4" s="3356"/>
      <c r="FS4" s="3356"/>
      <c r="FT4" s="3356"/>
      <c r="FU4" s="3356"/>
      <c r="FV4" s="3356"/>
      <c r="FW4" s="3356"/>
      <c r="FX4" s="3356"/>
      <c r="FY4" s="3356"/>
      <c r="FZ4" s="3356"/>
      <c r="GA4" s="3356"/>
      <c r="GB4" s="3356"/>
      <c r="GC4" s="3356"/>
      <c r="GD4" s="3356"/>
      <c r="GE4" s="3356"/>
      <c r="GF4" s="3356"/>
      <c r="GG4" s="3356"/>
      <c r="GH4" s="3356"/>
      <c r="GI4" s="3356"/>
      <c r="GJ4" s="3356"/>
      <c r="GK4" s="3356"/>
      <c r="GL4" s="3356"/>
      <c r="GM4" s="3356"/>
      <c r="GN4" s="3356"/>
      <c r="GO4" s="3356"/>
      <c r="GP4" s="3356"/>
      <c r="GQ4" s="3356"/>
      <c r="GR4" s="3356"/>
      <c r="GS4" s="3356"/>
      <c r="GT4" s="3356"/>
      <c r="GU4" s="3356"/>
      <c r="GV4" s="3356"/>
      <c r="GW4" s="3356"/>
      <c r="GX4" s="3356"/>
      <c r="GY4" s="3356"/>
      <c r="GZ4" s="3356"/>
      <c r="HA4" s="3356"/>
      <c r="HB4" s="3356"/>
      <c r="HC4" s="3356"/>
      <c r="HD4" s="3356"/>
      <c r="HE4" s="3356"/>
      <c r="HF4" s="3356"/>
      <c r="HG4" s="3356"/>
      <c r="HH4" s="3356"/>
      <c r="HI4" s="3356"/>
      <c r="HJ4" s="3356"/>
      <c r="HK4" s="3356"/>
      <c r="HL4" s="3356"/>
      <c r="HM4" s="3356"/>
      <c r="HN4" s="3356"/>
      <c r="HO4" s="3356"/>
      <c r="HP4" s="3356"/>
      <c r="HQ4" s="3356"/>
      <c r="HR4" s="3356"/>
      <c r="HS4" s="3356"/>
      <c r="HT4" s="3356"/>
      <c r="HU4" s="3356"/>
      <c r="HV4" s="3356"/>
      <c r="HW4" s="3356"/>
      <c r="HX4" s="3356"/>
      <c r="HY4" s="3356"/>
      <c r="HZ4" s="3356"/>
      <c r="IA4" s="3356"/>
      <c r="IB4" s="3356"/>
      <c r="IC4" s="3356"/>
      <c r="ID4" s="3356"/>
      <c r="IE4" s="3356"/>
      <c r="IF4" s="3356"/>
      <c r="IG4" s="3356"/>
      <c r="IH4" s="3356"/>
      <c r="II4" s="3356"/>
      <c r="IJ4" s="3356"/>
      <c r="IK4" s="3356"/>
      <c r="IL4" s="3356"/>
      <c r="IM4" s="3356"/>
      <c r="IN4" s="3356"/>
      <c r="IO4" s="3356"/>
      <c r="IP4" s="3356"/>
      <c r="IQ4" s="3356"/>
      <c r="IR4" s="3356"/>
      <c r="IS4" s="3356"/>
      <c r="IT4" s="3356"/>
      <c r="IU4" s="3356"/>
    </row>
    <row r="5" spans="1:255">
      <c r="A5" s="3337" t="s">
        <v>3677</v>
      </c>
      <c r="B5" s="3337" t="s">
        <v>3674</v>
      </c>
      <c r="C5" s="3354" t="s">
        <v>3676</v>
      </c>
      <c r="D5" s="3354" t="s">
        <v>3675</v>
      </c>
      <c r="E5" s="3355" t="s">
        <v>3135</v>
      </c>
      <c r="F5" s="3355" t="s">
        <v>3154</v>
      </c>
      <c r="G5" s="3337"/>
      <c r="H5" s="3337" t="s">
        <v>3153</v>
      </c>
      <c r="I5" s="3337" t="s">
        <v>3651</v>
      </c>
      <c r="J5" s="3354" t="s">
        <v>3452</v>
      </c>
      <c r="K5" s="3337" t="s">
        <v>3674</v>
      </c>
      <c r="L5" s="3337">
        <v>44.2</v>
      </c>
      <c r="M5" s="3337">
        <v>2</v>
      </c>
      <c r="N5" s="3337" t="s">
        <v>3280</v>
      </c>
      <c r="O5" s="3337"/>
      <c r="P5" s="3337" t="s">
        <v>2972</v>
      </c>
      <c r="Q5" s="3353">
        <v>320000</v>
      </c>
      <c r="R5" s="3352">
        <v>7240</v>
      </c>
      <c r="S5" s="3351">
        <v>31.16</v>
      </c>
      <c r="T5" s="3350">
        <v>311600</v>
      </c>
      <c r="U5" s="3337">
        <v>7050</v>
      </c>
      <c r="V5" s="3349">
        <v>0.2</v>
      </c>
      <c r="W5" s="3348">
        <v>24.92</v>
      </c>
      <c r="X5" s="3347">
        <v>249200.00000000003</v>
      </c>
      <c r="Y5" s="3336">
        <v>2008</v>
      </c>
      <c r="Z5" s="3336">
        <v>4</v>
      </c>
      <c r="AA5" s="3336">
        <v>11</v>
      </c>
      <c r="AB5" s="3337">
        <v>930</v>
      </c>
      <c r="AC5" s="3337" t="s">
        <v>3140</v>
      </c>
      <c r="AD5" s="3346" t="s">
        <v>3673</v>
      </c>
      <c r="AE5" s="3336" t="s">
        <v>3147</v>
      </c>
      <c r="AF5" s="3337" t="s">
        <v>2975</v>
      </c>
      <c r="AG5" s="3337" t="s">
        <v>2976</v>
      </c>
      <c r="AH5" s="3345"/>
      <c r="AI5" s="3337" t="s">
        <v>3128</v>
      </c>
      <c r="AJ5" s="3344"/>
      <c r="AK5" s="3343" t="s">
        <v>3003</v>
      </c>
      <c r="AL5" s="3336">
        <v>32</v>
      </c>
      <c r="AM5" s="3336" t="s">
        <v>3672</v>
      </c>
      <c r="AN5" s="3337" t="s">
        <v>3234</v>
      </c>
      <c r="AO5" s="3336"/>
      <c r="AP5" s="3336" t="s">
        <v>3129</v>
      </c>
      <c r="AQ5" s="3337" t="s">
        <v>3125</v>
      </c>
      <c r="AR5" s="3336"/>
      <c r="AS5" s="3336"/>
      <c r="AT5" s="3336"/>
      <c r="AU5" s="3336"/>
      <c r="AV5" s="3336"/>
      <c r="AW5" s="3336" t="s">
        <v>3144</v>
      </c>
      <c r="AX5" s="3336"/>
      <c r="AY5" s="3342"/>
      <c r="AZ5" s="3336" t="s">
        <v>3671</v>
      </c>
      <c r="BA5" s="3336"/>
      <c r="BB5" s="3342"/>
      <c r="BC5" s="3336"/>
      <c r="BD5" s="3341"/>
      <c r="BE5" s="3336"/>
      <c r="BF5" s="3340"/>
      <c r="BG5" s="3339">
        <v>39532</v>
      </c>
      <c r="BH5" s="3336"/>
      <c r="BI5" s="3336" t="s">
        <v>3128</v>
      </c>
      <c r="BJ5" s="3338">
        <v>39548</v>
      </c>
      <c r="BK5" s="3338"/>
      <c r="BL5" s="3337" t="s">
        <v>3007</v>
      </c>
      <c r="BM5" s="3336" t="s">
        <v>2881</v>
      </c>
      <c r="BN5" s="3336" t="s">
        <v>3008</v>
      </c>
      <c r="BO5" s="3336" t="s">
        <v>3009</v>
      </c>
      <c r="BP5" s="3336"/>
      <c r="BQ5" s="3336" t="e">
        <v>#DIV/0!</v>
      </c>
      <c r="BR5" s="3336" t="e">
        <v>#DIV/0!</v>
      </c>
      <c r="BS5" s="3335" t="s">
        <v>3128</v>
      </c>
      <c r="BT5" s="3335" t="s">
        <v>3140</v>
      </c>
      <c r="BU5" s="3334"/>
      <c r="BV5" s="3334"/>
      <c r="BW5" s="3334"/>
      <c r="BX5" s="3334"/>
      <c r="BY5" s="3334"/>
      <c r="BZ5" s="3334"/>
      <c r="CA5" s="3334"/>
      <c r="CB5" s="3334"/>
      <c r="CC5" s="3334"/>
      <c r="CD5" s="3334"/>
      <c r="CE5" s="3334"/>
      <c r="CF5" s="3334"/>
      <c r="CG5" s="3334"/>
      <c r="CH5" s="3334"/>
      <c r="CI5" s="3334"/>
      <c r="CJ5" s="3334"/>
      <c r="CK5" s="3334"/>
      <c r="CL5" s="3334"/>
      <c r="CM5" s="3334"/>
      <c r="CN5" s="3334"/>
      <c r="CO5" s="3334"/>
      <c r="CP5" s="3334"/>
      <c r="CQ5" s="3334"/>
      <c r="CR5" s="3334"/>
      <c r="CS5" s="3334"/>
      <c r="CT5" s="3334"/>
      <c r="CU5" s="3334"/>
      <c r="CV5" s="3334"/>
      <c r="CW5" s="3334"/>
      <c r="CX5" s="3334"/>
      <c r="CY5" s="3334"/>
      <c r="CZ5" s="3334"/>
      <c r="DA5" s="3334"/>
      <c r="DB5" s="3334"/>
      <c r="DC5" s="3334"/>
      <c r="DD5" s="3334"/>
      <c r="DE5" s="3334"/>
      <c r="DF5" s="3334"/>
      <c r="DG5" s="3334"/>
      <c r="DH5" s="3334"/>
      <c r="DI5" s="3334"/>
      <c r="DJ5" s="3334"/>
      <c r="DK5" s="3334"/>
      <c r="DL5" s="3334"/>
      <c r="DM5" s="3334"/>
      <c r="DN5" s="3334"/>
      <c r="DO5" s="3334"/>
      <c r="DP5" s="3334"/>
      <c r="DQ5" s="3334"/>
      <c r="DR5" s="3334"/>
      <c r="DS5" s="3334"/>
      <c r="DT5" s="3334"/>
      <c r="DU5" s="3334"/>
      <c r="DV5" s="3334"/>
      <c r="DW5" s="3334"/>
      <c r="DX5" s="3334"/>
      <c r="DY5" s="3334"/>
      <c r="DZ5" s="3334"/>
      <c r="EA5" s="3334"/>
      <c r="EB5" s="3334"/>
      <c r="EC5" s="3334"/>
      <c r="ED5" s="3334"/>
      <c r="EE5" s="3334"/>
      <c r="EF5" s="3334"/>
      <c r="EG5" s="3334"/>
      <c r="EH5" s="3334"/>
      <c r="EI5" s="3334"/>
      <c r="EJ5" s="3334"/>
      <c r="EK5" s="3334"/>
      <c r="EL5" s="3334"/>
      <c r="EM5" s="3334"/>
      <c r="EN5" s="3334"/>
      <c r="EO5" s="3334"/>
      <c r="EP5" s="3334"/>
      <c r="EQ5" s="3334"/>
      <c r="ER5" s="3334"/>
      <c r="ES5" s="3334"/>
      <c r="ET5" s="3334"/>
      <c r="EU5" s="3334"/>
      <c r="EV5" s="3334"/>
      <c r="EW5" s="3334"/>
      <c r="EX5" s="3334"/>
      <c r="EY5" s="3334"/>
      <c r="EZ5" s="3334"/>
      <c r="FA5" s="3334"/>
      <c r="FB5" s="3334"/>
      <c r="FC5" s="3334"/>
      <c r="FD5" s="3334"/>
      <c r="FE5" s="3334"/>
      <c r="FF5" s="3334"/>
      <c r="FG5" s="3334"/>
      <c r="FH5" s="3334"/>
      <c r="FI5" s="3334"/>
      <c r="FJ5" s="3334"/>
      <c r="FK5" s="3334"/>
      <c r="FL5" s="3334"/>
      <c r="FM5" s="3334"/>
      <c r="FN5" s="3334"/>
      <c r="FO5" s="3334"/>
      <c r="FP5" s="3334"/>
      <c r="FQ5" s="3334"/>
      <c r="FR5" s="3334"/>
      <c r="FS5" s="3334"/>
      <c r="FT5" s="3334"/>
      <c r="FU5" s="3334"/>
      <c r="FV5" s="3334"/>
      <c r="FW5" s="3334"/>
      <c r="FX5" s="3334"/>
      <c r="FY5" s="3334"/>
      <c r="FZ5" s="3334"/>
      <c r="GA5" s="3334"/>
      <c r="GB5" s="3334"/>
      <c r="GC5" s="3334"/>
      <c r="GD5" s="3334"/>
      <c r="GE5" s="3334"/>
      <c r="GF5" s="3334"/>
      <c r="GG5" s="3334"/>
      <c r="GH5" s="3334"/>
      <c r="GI5" s="3334"/>
      <c r="GJ5" s="3334"/>
      <c r="GK5" s="3334"/>
      <c r="GL5" s="3334"/>
      <c r="GM5" s="3334"/>
      <c r="GN5" s="3334"/>
      <c r="GO5" s="3334"/>
      <c r="GP5" s="3334"/>
      <c r="GQ5" s="3334"/>
      <c r="GR5" s="3334"/>
      <c r="GS5" s="3334"/>
      <c r="GT5" s="3334"/>
      <c r="GU5" s="3334"/>
      <c r="GV5" s="3334"/>
      <c r="GW5" s="3334"/>
      <c r="GX5" s="3334"/>
      <c r="GY5" s="3334"/>
      <c r="GZ5" s="3334"/>
      <c r="HA5" s="3334"/>
      <c r="HB5" s="3334"/>
      <c r="HC5" s="3334"/>
      <c r="HD5" s="3334"/>
      <c r="HE5" s="3334"/>
      <c r="HF5" s="3334"/>
      <c r="HG5" s="3334"/>
      <c r="HH5" s="3334"/>
      <c r="HI5" s="3334"/>
      <c r="HJ5" s="3334"/>
      <c r="HK5" s="3334"/>
      <c r="HL5" s="3334"/>
      <c r="HM5" s="3334"/>
      <c r="HN5" s="3334"/>
      <c r="HO5" s="3334"/>
      <c r="HP5" s="3334"/>
      <c r="HQ5" s="3334"/>
      <c r="HR5" s="3334"/>
      <c r="HS5" s="3334"/>
      <c r="HT5" s="3334"/>
      <c r="HU5" s="3334"/>
      <c r="HV5" s="3334"/>
      <c r="HW5" s="3334"/>
      <c r="HX5" s="3334"/>
      <c r="HY5" s="3334"/>
      <c r="HZ5" s="3334"/>
      <c r="IA5" s="3334"/>
      <c r="IB5" s="3334"/>
      <c r="IC5" s="3334"/>
      <c r="ID5" s="3334"/>
      <c r="IE5" s="3334"/>
      <c r="IF5" s="3334"/>
      <c r="IG5" s="3334"/>
      <c r="IH5" s="3334"/>
      <c r="II5" s="3334"/>
      <c r="IJ5" s="3334"/>
      <c r="IK5" s="3334"/>
      <c r="IL5" s="3334"/>
      <c r="IM5" s="3334"/>
      <c r="IN5" s="3334"/>
      <c r="IO5" s="3334"/>
      <c r="IP5" s="3334"/>
      <c r="IQ5" s="3334"/>
      <c r="IR5" s="3334"/>
      <c r="IS5" s="3334"/>
      <c r="IT5" s="3334"/>
      <c r="IU5" s="3334"/>
    </row>
    <row r="6" spans="1:255">
      <c r="A6" s="3345" t="s">
        <v>3670</v>
      </c>
      <c r="B6" s="3337" t="s">
        <v>3666</v>
      </c>
      <c r="C6" s="3354" t="s">
        <v>3669</v>
      </c>
      <c r="D6" s="3354" t="s">
        <v>3668</v>
      </c>
      <c r="E6" s="3337" t="s">
        <v>3135</v>
      </c>
      <c r="F6" s="3355" t="s">
        <v>3211</v>
      </c>
      <c r="G6" s="3337"/>
      <c r="H6" s="3337" t="s">
        <v>3588</v>
      </c>
      <c r="I6" s="3337" t="s">
        <v>3634</v>
      </c>
      <c r="J6" s="3354" t="s">
        <v>3667</v>
      </c>
      <c r="K6" s="3337" t="s">
        <v>3666</v>
      </c>
      <c r="L6" s="3337">
        <v>101.28</v>
      </c>
      <c r="M6" s="3337">
        <v>1</v>
      </c>
      <c r="N6" s="3337" t="s">
        <v>3149</v>
      </c>
      <c r="O6" s="3337"/>
      <c r="P6" s="3337" t="s">
        <v>2972</v>
      </c>
      <c r="Q6" s="3353">
        <v>760000</v>
      </c>
      <c r="R6" s="3352">
        <v>7504</v>
      </c>
      <c r="S6" s="3351">
        <v>73.42</v>
      </c>
      <c r="T6" s="3350">
        <v>734200</v>
      </c>
      <c r="U6" s="3337">
        <v>7250</v>
      </c>
      <c r="V6" s="3349">
        <v>0.3</v>
      </c>
      <c r="W6" s="3348">
        <v>51.39</v>
      </c>
      <c r="X6" s="3347">
        <v>513900</v>
      </c>
      <c r="Y6" s="3336">
        <v>2008</v>
      </c>
      <c r="Z6" s="3336">
        <v>4</v>
      </c>
      <c r="AA6" s="3336">
        <v>25</v>
      </c>
      <c r="AB6" s="3337">
        <v>1500</v>
      </c>
      <c r="AC6" s="3337" t="s">
        <v>3140</v>
      </c>
      <c r="AD6" s="3346" t="s">
        <v>3665</v>
      </c>
      <c r="AE6" s="3336" t="s">
        <v>3147</v>
      </c>
      <c r="AF6" s="3337" t="s">
        <v>2975</v>
      </c>
      <c r="AG6" s="3337" t="s">
        <v>2976</v>
      </c>
      <c r="AH6" s="3345"/>
      <c r="AI6" s="3337" t="s">
        <v>3128</v>
      </c>
      <c r="AJ6" s="3344"/>
      <c r="AK6" s="3343" t="s">
        <v>3003</v>
      </c>
      <c r="AL6" s="3336">
        <v>42</v>
      </c>
      <c r="AM6" s="3337" t="s">
        <v>3664</v>
      </c>
      <c r="AN6" s="3337" t="s">
        <v>3003</v>
      </c>
      <c r="AO6" s="3336"/>
      <c r="AP6" s="3336" t="s">
        <v>3601</v>
      </c>
      <c r="AQ6" s="3337" t="s">
        <v>3125</v>
      </c>
      <c r="AR6" s="3336"/>
      <c r="AS6" s="3336"/>
      <c r="AT6" s="3336"/>
      <c r="AU6" s="3336"/>
      <c r="AV6" s="3336"/>
      <c r="AW6" s="3336" t="s">
        <v>3144</v>
      </c>
      <c r="AX6" s="3336"/>
      <c r="AY6" s="3342"/>
      <c r="AZ6" s="3336" t="s">
        <v>3663</v>
      </c>
      <c r="BA6" s="3336"/>
      <c r="BB6" s="3342"/>
      <c r="BC6" s="3336"/>
      <c r="BD6" s="3341"/>
      <c r="BE6" s="3336"/>
      <c r="BF6" s="3340"/>
      <c r="BG6" s="3339">
        <v>39546</v>
      </c>
      <c r="BH6" s="3336"/>
      <c r="BI6" s="3336" t="s">
        <v>3147</v>
      </c>
      <c r="BJ6" s="3338">
        <v>39546</v>
      </c>
      <c r="BK6" s="3338"/>
      <c r="BL6" s="3337" t="s">
        <v>3007</v>
      </c>
      <c r="BM6" s="3336" t="s">
        <v>2881</v>
      </c>
      <c r="BN6" s="3336" t="s">
        <v>3008</v>
      </c>
      <c r="BO6" s="3336" t="s">
        <v>3009</v>
      </c>
      <c r="BP6" s="3336"/>
      <c r="BQ6" s="3336" t="e">
        <v>#DIV/0!</v>
      </c>
      <c r="BR6" s="3336" t="e">
        <v>#DIV/0!</v>
      </c>
      <c r="BS6" s="3335" t="s">
        <v>3147</v>
      </c>
      <c r="BT6" s="3335" t="s">
        <v>3140</v>
      </c>
      <c r="BU6" s="3356"/>
      <c r="BV6" s="3356"/>
      <c r="BW6" s="3356"/>
      <c r="BX6" s="3356"/>
      <c r="BY6" s="3356"/>
      <c r="BZ6" s="3356"/>
      <c r="CA6" s="3356"/>
      <c r="CB6" s="3356"/>
      <c r="CC6" s="3356"/>
      <c r="CD6" s="3356"/>
      <c r="CE6" s="3356"/>
      <c r="CF6" s="3356"/>
      <c r="CG6" s="3356"/>
      <c r="CH6" s="3356"/>
      <c r="CI6" s="3356"/>
      <c r="CJ6" s="3356"/>
      <c r="CK6" s="3356"/>
      <c r="CL6" s="3356"/>
      <c r="CM6" s="3356"/>
      <c r="CN6" s="3356"/>
      <c r="CO6" s="3356"/>
      <c r="CP6" s="3356"/>
      <c r="CQ6" s="3356"/>
      <c r="CR6" s="3356"/>
      <c r="CS6" s="3356"/>
      <c r="CT6" s="3356"/>
      <c r="CU6" s="3356"/>
      <c r="CV6" s="3356"/>
      <c r="CW6" s="3356"/>
      <c r="CX6" s="3356"/>
      <c r="CY6" s="3356"/>
      <c r="CZ6" s="3356"/>
      <c r="DA6" s="3356"/>
      <c r="DB6" s="3356"/>
      <c r="DC6" s="3356"/>
      <c r="DD6" s="3356"/>
      <c r="DE6" s="3356"/>
      <c r="DF6" s="3356"/>
      <c r="DG6" s="3356"/>
      <c r="DH6" s="3356"/>
      <c r="DI6" s="3356"/>
      <c r="DJ6" s="3356"/>
      <c r="DK6" s="3356"/>
      <c r="DL6" s="3356"/>
      <c r="DM6" s="3356"/>
      <c r="DN6" s="3356"/>
      <c r="DO6" s="3356"/>
      <c r="DP6" s="3356"/>
      <c r="DQ6" s="3356"/>
      <c r="DR6" s="3356"/>
      <c r="DS6" s="3356"/>
      <c r="DT6" s="3356"/>
      <c r="DU6" s="3356"/>
      <c r="DV6" s="3356"/>
      <c r="DW6" s="3356"/>
      <c r="DX6" s="3356"/>
      <c r="DY6" s="3356"/>
      <c r="DZ6" s="3356"/>
      <c r="EA6" s="3356"/>
      <c r="EB6" s="3356"/>
      <c r="EC6" s="3356"/>
      <c r="ED6" s="3356"/>
      <c r="EE6" s="3356"/>
      <c r="EF6" s="3356"/>
      <c r="EG6" s="3356"/>
      <c r="EH6" s="3356"/>
      <c r="EI6" s="3356"/>
      <c r="EJ6" s="3356"/>
      <c r="EK6" s="3356"/>
      <c r="EL6" s="3356"/>
      <c r="EM6" s="3356"/>
      <c r="EN6" s="3356"/>
      <c r="EO6" s="3356"/>
      <c r="EP6" s="3356"/>
      <c r="EQ6" s="3356"/>
      <c r="ER6" s="3356"/>
      <c r="ES6" s="3356"/>
      <c r="ET6" s="3356"/>
      <c r="EU6" s="3356"/>
      <c r="EV6" s="3356"/>
      <c r="EW6" s="3356"/>
      <c r="EX6" s="3356"/>
      <c r="EY6" s="3356"/>
      <c r="EZ6" s="3356"/>
      <c r="FA6" s="3356"/>
      <c r="FB6" s="3356"/>
      <c r="FC6" s="3356"/>
      <c r="FD6" s="3356"/>
      <c r="FE6" s="3356"/>
      <c r="FF6" s="3356"/>
      <c r="FG6" s="3356"/>
      <c r="FH6" s="3356"/>
      <c r="FI6" s="3356"/>
      <c r="FJ6" s="3356"/>
      <c r="FK6" s="3356"/>
      <c r="FL6" s="3356"/>
      <c r="FM6" s="3356"/>
      <c r="FN6" s="3356"/>
      <c r="FO6" s="3356"/>
      <c r="FP6" s="3356"/>
      <c r="FQ6" s="3356"/>
      <c r="FR6" s="3356"/>
      <c r="FS6" s="3356"/>
      <c r="FT6" s="3356"/>
      <c r="FU6" s="3356"/>
      <c r="FV6" s="3356"/>
      <c r="FW6" s="3356"/>
      <c r="FX6" s="3356"/>
      <c r="FY6" s="3356"/>
      <c r="FZ6" s="3356"/>
      <c r="GA6" s="3356"/>
      <c r="GB6" s="3356"/>
      <c r="GC6" s="3356"/>
      <c r="GD6" s="3356"/>
      <c r="GE6" s="3356"/>
      <c r="GF6" s="3356"/>
      <c r="GG6" s="3356"/>
      <c r="GH6" s="3356"/>
      <c r="GI6" s="3356"/>
      <c r="GJ6" s="3356"/>
      <c r="GK6" s="3356"/>
      <c r="GL6" s="3356"/>
      <c r="GM6" s="3356"/>
      <c r="GN6" s="3356"/>
      <c r="GO6" s="3356"/>
      <c r="GP6" s="3356"/>
      <c r="GQ6" s="3356"/>
      <c r="GR6" s="3356"/>
      <c r="GS6" s="3356"/>
      <c r="GT6" s="3356"/>
      <c r="GU6" s="3356"/>
      <c r="GV6" s="3356"/>
      <c r="GW6" s="3356"/>
      <c r="GX6" s="3356"/>
      <c r="GY6" s="3356"/>
      <c r="GZ6" s="3356"/>
      <c r="HA6" s="3356"/>
      <c r="HB6" s="3356"/>
      <c r="HC6" s="3356"/>
      <c r="HD6" s="3356"/>
      <c r="HE6" s="3356"/>
      <c r="HF6" s="3356"/>
      <c r="HG6" s="3356"/>
      <c r="HH6" s="3356"/>
      <c r="HI6" s="3356"/>
      <c r="HJ6" s="3356"/>
      <c r="HK6" s="3356"/>
      <c r="HL6" s="3356"/>
      <c r="HM6" s="3356"/>
      <c r="HN6" s="3356"/>
      <c r="HO6" s="3356"/>
      <c r="HP6" s="3356"/>
      <c r="HQ6" s="3356"/>
      <c r="HR6" s="3356"/>
      <c r="HS6" s="3356"/>
      <c r="HT6" s="3356"/>
      <c r="HU6" s="3356"/>
      <c r="HV6" s="3356"/>
      <c r="HW6" s="3356"/>
      <c r="HX6" s="3356"/>
      <c r="HY6" s="3356"/>
      <c r="HZ6" s="3356"/>
      <c r="IA6" s="3356"/>
      <c r="IB6" s="3356"/>
      <c r="IC6" s="3356"/>
      <c r="ID6" s="3356"/>
      <c r="IE6" s="3356"/>
      <c r="IF6" s="3356"/>
      <c r="IG6" s="3356"/>
      <c r="IH6" s="3356"/>
      <c r="II6" s="3356"/>
      <c r="IJ6" s="3356"/>
      <c r="IK6" s="3356"/>
      <c r="IL6" s="3356"/>
      <c r="IM6" s="3356"/>
      <c r="IN6" s="3356"/>
      <c r="IO6" s="3356"/>
      <c r="IP6" s="3356"/>
      <c r="IQ6" s="3356"/>
      <c r="IR6" s="3356"/>
      <c r="IS6" s="3356"/>
      <c r="IT6" s="3356"/>
      <c r="IU6" s="3356"/>
    </row>
    <row r="7" spans="1:255">
      <c r="A7" s="3337" t="s">
        <v>3662</v>
      </c>
      <c r="B7" s="3337" t="s">
        <v>3658</v>
      </c>
      <c r="C7" s="3354" t="s">
        <v>3661</v>
      </c>
      <c r="D7" s="3354" t="s">
        <v>3660</v>
      </c>
      <c r="E7" s="3375" t="s">
        <v>3135</v>
      </c>
      <c r="F7" s="3375" t="s">
        <v>3134</v>
      </c>
      <c r="G7" s="3337"/>
      <c r="H7" s="3375" t="s">
        <v>3626</v>
      </c>
      <c r="I7" s="3361" t="s">
        <v>3651</v>
      </c>
      <c r="J7" s="3354" t="s">
        <v>3659</v>
      </c>
      <c r="K7" s="3337" t="s">
        <v>3658</v>
      </c>
      <c r="L7" s="3337">
        <v>68.819999999999993</v>
      </c>
      <c r="M7" s="3337">
        <v>3</v>
      </c>
      <c r="N7" s="3337" t="s">
        <v>3149</v>
      </c>
      <c r="O7" s="3337"/>
      <c r="P7" s="3361" t="s">
        <v>2972</v>
      </c>
      <c r="Q7" s="3353">
        <v>506000</v>
      </c>
      <c r="R7" s="3352">
        <v>7353</v>
      </c>
      <c r="S7" s="3351">
        <v>49.2</v>
      </c>
      <c r="T7" s="3350">
        <v>492000</v>
      </c>
      <c r="U7" s="3337">
        <v>7150</v>
      </c>
      <c r="V7" s="3349">
        <v>0.2</v>
      </c>
      <c r="W7" s="3348">
        <v>39.36</v>
      </c>
      <c r="X7" s="3347">
        <v>393600</v>
      </c>
      <c r="Y7" s="3336">
        <v>2008</v>
      </c>
      <c r="Z7" s="3336">
        <v>5</v>
      </c>
      <c r="AA7" s="3336">
        <v>5</v>
      </c>
      <c r="AB7" s="3337">
        <v>1475</v>
      </c>
      <c r="AC7" s="3337" t="s">
        <v>3140</v>
      </c>
      <c r="AD7" s="3346" t="s">
        <v>3657</v>
      </c>
      <c r="AE7" s="3357" t="s">
        <v>3147</v>
      </c>
      <c r="AF7" s="3361" t="s">
        <v>2975</v>
      </c>
      <c r="AG7" s="3374" t="s">
        <v>2976</v>
      </c>
      <c r="AH7" s="3345"/>
      <c r="AI7" s="3357" t="s">
        <v>3128</v>
      </c>
      <c r="AJ7" s="3344"/>
      <c r="AK7" s="3343" t="s">
        <v>3108</v>
      </c>
      <c r="AL7" s="3337">
        <v>35</v>
      </c>
      <c r="AM7" s="3337" t="s">
        <v>3656</v>
      </c>
      <c r="AN7" s="3337" t="s">
        <v>3193</v>
      </c>
      <c r="AO7" s="3337"/>
      <c r="AP7" s="3336" t="s">
        <v>3601</v>
      </c>
      <c r="AQ7" s="3336" t="s">
        <v>3125</v>
      </c>
      <c r="AR7" s="3336"/>
      <c r="AS7" s="3336"/>
      <c r="AT7" s="3336"/>
      <c r="AU7" s="3336" t="s">
        <v>2977</v>
      </c>
      <c r="AV7" s="3336" t="s">
        <v>2977</v>
      </c>
      <c r="AW7" s="3336" t="s">
        <v>3144</v>
      </c>
      <c r="AX7" s="3336"/>
      <c r="AY7" s="3342"/>
      <c r="AZ7" s="3337" t="s">
        <v>3655</v>
      </c>
      <c r="BA7" s="3364"/>
      <c r="BB7" s="3373"/>
      <c r="BC7" s="3364"/>
      <c r="BD7" s="3372"/>
      <c r="BE7" s="3371"/>
      <c r="BF7" s="3340"/>
      <c r="BG7" s="3370">
        <v>39567</v>
      </c>
      <c r="BH7" s="3337"/>
      <c r="BI7" s="3336" t="s">
        <v>3147</v>
      </c>
      <c r="BJ7" s="3338">
        <v>39573</v>
      </c>
      <c r="BK7" s="3338"/>
      <c r="BL7" s="3337" t="s">
        <v>3007</v>
      </c>
      <c r="BM7" s="3336" t="s">
        <v>2881</v>
      </c>
      <c r="BN7" s="3336" t="s">
        <v>3008</v>
      </c>
      <c r="BO7" s="3336" t="s">
        <v>3009</v>
      </c>
      <c r="BP7" s="3336" t="s">
        <v>2977</v>
      </c>
      <c r="BQ7" s="3336" t="e">
        <v>#DIV/0!</v>
      </c>
      <c r="BR7" s="3336" t="e">
        <v>#DIV/0!</v>
      </c>
      <c r="BS7" s="3335" t="s">
        <v>3147</v>
      </c>
      <c r="BT7" s="3335" t="s">
        <v>3140</v>
      </c>
      <c r="BU7" s="3356"/>
      <c r="BV7" s="3334"/>
      <c r="BW7" s="3334"/>
      <c r="BX7" s="3334"/>
      <c r="BY7" s="3334"/>
      <c r="BZ7" s="3334"/>
      <c r="CA7" s="3334"/>
      <c r="CB7" s="3334"/>
      <c r="CC7" s="3334"/>
      <c r="CD7" s="3334"/>
      <c r="CE7" s="3334"/>
      <c r="CF7" s="3334"/>
      <c r="CG7" s="3334"/>
      <c r="CH7" s="3334"/>
      <c r="CI7" s="3334"/>
      <c r="CJ7" s="3334"/>
      <c r="CK7" s="3334"/>
      <c r="CL7" s="3334"/>
      <c r="CM7" s="3334"/>
      <c r="CN7" s="3334"/>
      <c r="CO7" s="3334"/>
      <c r="CP7" s="3334"/>
      <c r="CQ7" s="3334"/>
      <c r="CR7" s="3334"/>
      <c r="CS7" s="3334"/>
      <c r="CT7" s="3334"/>
      <c r="CU7" s="3334"/>
      <c r="CV7" s="3334"/>
      <c r="CW7" s="3334"/>
      <c r="CX7" s="3334"/>
      <c r="CY7" s="3334"/>
      <c r="CZ7" s="3334"/>
      <c r="DA7" s="3334"/>
      <c r="DB7" s="3334"/>
      <c r="DC7" s="3334"/>
      <c r="DD7" s="3334"/>
      <c r="DE7" s="3334"/>
      <c r="DF7" s="3334"/>
      <c r="DG7" s="3334"/>
      <c r="DH7" s="3334"/>
      <c r="DI7" s="3334"/>
      <c r="DJ7" s="3334"/>
      <c r="DK7" s="3334"/>
      <c r="DL7" s="3334"/>
      <c r="DM7" s="3334"/>
      <c r="DN7" s="3334"/>
      <c r="DO7" s="3334"/>
      <c r="DP7" s="3334"/>
      <c r="DQ7" s="3334"/>
      <c r="DR7" s="3334"/>
      <c r="DS7" s="3334"/>
      <c r="DT7" s="3334"/>
      <c r="DU7" s="3334"/>
      <c r="DV7" s="3334"/>
      <c r="DW7" s="3334"/>
      <c r="DX7" s="3334"/>
      <c r="DY7" s="3334"/>
      <c r="DZ7" s="3334"/>
      <c r="EA7" s="3334"/>
      <c r="EB7" s="3334"/>
      <c r="EC7" s="3334"/>
      <c r="ED7" s="3334"/>
      <c r="EE7" s="3334"/>
      <c r="EF7" s="3334"/>
      <c r="EG7" s="3334"/>
      <c r="EH7" s="3334"/>
      <c r="EI7" s="3334"/>
      <c r="EJ7" s="3334"/>
      <c r="EK7" s="3334"/>
      <c r="EL7" s="3334"/>
      <c r="EM7" s="3334"/>
      <c r="EN7" s="3334"/>
      <c r="EO7" s="3334"/>
      <c r="EP7" s="3334"/>
      <c r="EQ7" s="3334"/>
      <c r="ER7" s="3334"/>
      <c r="ES7" s="3334"/>
      <c r="ET7" s="3334"/>
      <c r="EU7" s="3334"/>
      <c r="EV7" s="3334"/>
      <c r="EW7" s="3334"/>
      <c r="EX7" s="3334"/>
      <c r="EY7" s="3334"/>
      <c r="EZ7" s="3334"/>
      <c r="FA7" s="3334"/>
      <c r="FB7" s="3334"/>
      <c r="FC7" s="3334"/>
      <c r="FD7" s="3334"/>
      <c r="FE7" s="3334"/>
      <c r="FF7" s="3334"/>
      <c r="FG7" s="3334"/>
      <c r="FH7" s="3334"/>
      <c r="FI7" s="3334"/>
      <c r="FJ7" s="3334"/>
      <c r="FK7" s="3334"/>
      <c r="FL7" s="3334"/>
      <c r="FM7" s="3334"/>
      <c r="FN7" s="3334"/>
      <c r="FO7" s="3334"/>
      <c r="FP7" s="3334"/>
      <c r="FQ7" s="3334"/>
      <c r="FR7" s="3334"/>
      <c r="FS7" s="3334"/>
      <c r="FT7" s="3334"/>
      <c r="FU7" s="3334"/>
      <c r="FV7" s="3334"/>
      <c r="FW7" s="3334"/>
      <c r="FX7" s="3334"/>
      <c r="FY7" s="3334"/>
      <c r="FZ7" s="3334"/>
      <c r="GA7" s="3334"/>
      <c r="GB7" s="3334"/>
      <c r="GC7" s="3334"/>
      <c r="GD7" s="3334"/>
      <c r="GE7" s="3334"/>
      <c r="GF7" s="3334"/>
      <c r="GG7" s="3334"/>
      <c r="GH7" s="3334"/>
      <c r="GI7" s="3334"/>
      <c r="GJ7" s="3334"/>
      <c r="GK7" s="3334"/>
      <c r="GL7" s="3334"/>
      <c r="GM7" s="3334"/>
      <c r="GN7" s="3334"/>
      <c r="GO7" s="3334"/>
      <c r="GP7" s="3334"/>
      <c r="GQ7" s="3334"/>
      <c r="GR7" s="3334"/>
      <c r="GS7" s="3334"/>
      <c r="GT7" s="3334"/>
      <c r="GU7" s="3334"/>
      <c r="GV7" s="3334"/>
      <c r="GW7" s="3334"/>
      <c r="GX7" s="3334"/>
      <c r="GY7" s="3334"/>
      <c r="GZ7" s="3334"/>
      <c r="HA7" s="3334"/>
      <c r="HB7" s="3334"/>
      <c r="HC7" s="3334"/>
      <c r="HD7" s="3334"/>
      <c r="HE7" s="3334"/>
      <c r="HF7" s="3334"/>
      <c r="HG7" s="3334"/>
      <c r="HH7" s="3334"/>
      <c r="HI7" s="3334"/>
      <c r="HJ7" s="3334"/>
      <c r="HK7" s="3334"/>
      <c r="HL7" s="3334"/>
      <c r="HM7" s="3334"/>
      <c r="HN7" s="3334"/>
      <c r="HO7" s="3334"/>
      <c r="HP7" s="3334"/>
      <c r="HQ7" s="3334"/>
      <c r="HR7" s="3334"/>
      <c r="HS7" s="3334"/>
      <c r="HT7" s="3334"/>
      <c r="HU7" s="3334"/>
      <c r="HV7" s="3334"/>
      <c r="HW7" s="3334"/>
      <c r="HX7" s="3334"/>
      <c r="HY7" s="3334"/>
      <c r="HZ7" s="3334"/>
      <c r="IA7" s="3334"/>
      <c r="IB7" s="3334"/>
      <c r="IC7" s="3334"/>
      <c r="ID7" s="3334"/>
      <c r="IE7" s="3334"/>
      <c r="IF7" s="3334"/>
      <c r="IG7" s="3334"/>
      <c r="IH7" s="3334"/>
      <c r="II7" s="3334"/>
      <c r="IJ7" s="3334"/>
      <c r="IK7" s="3334"/>
      <c r="IL7" s="3334"/>
      <c r="IM7" s="3334"/>
      <c r="IN7" s="3334"/>
      <c r="IO7" s="3334"/>
      <c r="IP7" s="3369"/>
      <c r="IQ7" s="3369"/>
      <c r="IR7" s="3369"/>
      <c r="IS7" s="3369"/>
      <c r="IT7" s="3369"/>
      <c r="IU7" s="3369"/>
    </row>
    <row r="8" spans="1:255">
      <c r="A8" s="3345" t="s">
        <v>3654</v>
      </c>
      <c r="B8" s="3345" t="s">
        <v>3650</v>
      </c>
      <c r="C8" s="3354" t="s">
        <v>3653</v>
      </c>
      <c r="D8" s="3354" t="s">
        <v>3652</v>
      </c>
      <c r="E8" s="3355" t="s">
        <v>3135</v>
      </c>
      <c r="F8" s="3355" t="s">
        <v>3211</v>
      </c>
      <c r="G8" s="3337"/>
      <c r="H8" s="3337" t="s">
        <v>3265</v>
      </c>
      <c r="I8" s="3337" t="s">
        <v>3651</v>
      </c>
      <c r="J8" s="3354" t="s">
        <v>3633</v>
      </c>
      <c r="K8" s="3337" t="s">
        <v>3650</v>
      </c>
      <c r="L8" s="3337">
        <v>115.27</v>
      </c>
      <c r="M8" s="3337">
        <v>2</v>
      </c>
      <c r="N8" s="3337" t="s">
        <v>2998</v>
      </c>
      <c r="O8" s="3337"/>
      <c r="P8" s="3337" t="s">
        <v>2972</v>
      </c>
      <c r="Q8" s="3353">
        <v>846000</v>
      </c>
      <c r="R8" s="3352">
        <v>7339</v>
      </c>
      <c r="S8" s="3351">
        <v>83.57</v>
      </c>
      <c r="T8" s="3350">
        <v>835699.99999999988</v>
      </c>
      <c r="U8" s="3337">
        <v>7250</v>
      </c>
      <c r="V8" s="3349">
        <v>0.3</v>
      </c>
      <c r="W8" s="3348">
        <v>58.49</v>
      </c>
      <c r="X8" s="3347">
        <v>584900</v>
      </c>
      <c r="Y8" s="3336">
        <v>2008</v>
      </c>
      <c r="Z8" s="3336">
        <v>5</v>
      </c>
      <c r="AA8" s="3336">
        <v>16</v>
      </c>
      <c r="AB8" s="3337">
        <v>1500</v>
      </c>
      <c r="AC8" s="3337" t="s">
        <v>3140</v>
      </c>
      <c r="AD8" s="3346" t="s">
        <v>3649</v>
      </c>
      <c r="AE8" s="3336" t="s">
        <v>3147</v>
      </c>
      <c r="AF8" s="3337" t="s">
        <v>2975</v>
      </c>
      <c r="AG8" s="3337" t="s">
        <v>2976</v>
      </c>
      <c r="AH8" s="3345"/>
      <c r="AI8" s="3337" t="s">
        <v>3128</v>
      </c>
      <c r="AJ8" s="3344"/>
      <c r="AK8" s="3343" t="s">
        <v>3108</v>
      </c>
      <c r="AL8" s="3336">
        <v>41</v>
      </c>
      <c r="AM8" s="3336" t="s">
        <v>3648</v>
      </c>
      <c r="AN8" s="3337" t="s">
        <v>3126</v>
      </c>
      <c r="AO8" s="3336"/>
      <c r="AP8" s="3336" t="s">
        <v>3601</v>
      </c>
      <c r="AQ8" s="3336" t="s">
        <v>3125</v>
      </c>
      <c r="AR8" s="3336"/>
      <c r="AS8" s="3336"/>
      <c r="AT8" s="3336"/>
      <c r="AU8" s="3336"/>
      <c r="AV8" s="3336"/>
      <c r="AW8" s="3336" t="s">
        <v>3144</v>
      </c>
      <c r="AX8" s="3336"/>
      <c r="AY8" s="3342"/>
      <c r="AZ8" s="3336" t="s">
        <v>3647</v>
      </c>
      <c r="BA8" s="3336"/>
      <c r="BB8" s="3342"/>
      <c r="BC8" s="3336"/>
      <c r="BD8" s="3341"/>
      <c r="BE8" s="3336"/>
      <c r="BF8" s="3340"/>
      <c r="BG8" s="3339">
        <v>39580</v>
      </c>
      <c r="BH8" s="3336"/>
      <c r="BI8" s="3336" t="s">
        <v>3147</v>
      </c>
      <c r="BJ8" s="3338">
        <v>39583</v>
      </c>
      <c r="BK8" s="3338"/>
      <c r="BL8" s="3337" t="s">
        <v>3007</v>
      </c>
      <c r="BM8" s="3336" t="s">
        <v>2881</v>
      </c>
      <c r="BN8" s="3336" t="s">
        <v>3008</v>
      </c>
      <c r="BO8" s="3336" t="s">
        <v>3009</v>
      </c>
      <c r="BP8" s="3336"/>
      <c r="BQ8" s="3336" t="e">
        <v>#DIV/0!</v>
      </c>
      <c r="BR8" s="3336" t="e">
        <v>#DIV/0!</v>
      </c>
      <c r="BS8" s="3335" t="s">
        <v>3147</v>
      </c>
      <c r="BT8" s="3335" t="s">
        <v>3140</v>
      </c>
      <c r="BU8" s="3356"/>
      <c r="BV8" s="3356"/>
      <c r="BW8" s="3356"/>
      <c r="BX8" s="3356"/>
      <c r="BY8" s="3356"/>
      <c r="BZ8" s="3356"/>
      <c r="CA8" s="3356"/>
      <c r="CB8" s="3356"/>
      <c r="CC8" s="3356"/>
      <c r="CD8" s="3356"/>
      <c r="CE8" s="3356"/>
      <c r="CF8" s="3356"/>
      <c r="CG8" s="3356"/>
      <c r="CH8" s="3356"/>
      <c r="CI8" s="3356"/>
      <c r="CJ8" s="3356"/>
      <c r="CK8" s="3356"/>
      <c r="CL8" s="3356"/>
      <c r="CM8" s="3356"/>
      <c r="CN8" s="3356"/>
      <c r="CO8" s="3356"/>
      <c r="CP8" s="3356"/>
      <c r="CQ8" s="3356"/>
      <c r="CR8" s="3356"/>
      <c r="CS8" s="3356"/>
      <c r="CT8" s="3356"/>
      <c r="CU8" s="3356"/>
      <c r="CV8" s="3356"/>
      <c r="CW8" s="3356"/>
      <c r="CX8" s="3356"/>
      <c r="CY8" s="3356"/>
      <c r="CZ8" s="3356"/>
      <c r="DA8" s="3356"/>
      <c r="DB8" s="3356"/>
      <c r="DC8" s="3356"/>
      <c r="DD8" s="3356"/>
      <c r="DE8" s="3356"/>
      <c r="DF8" s="3356"/>
      <c r="DG8" s="3356"/>
      <c r="DH8" s="3356"/>
      <c r="DI8" s="3356"/>
      <c r="DJ8" s="3356"/>
      <c r="DK8" s="3356"/>
      <c r="DL8" s="3356"/>
      <c r="DM8" s="3356"/>
      <c r="DN8" s="3356"/>
      <c r="DO8" s="3356"/>
      <c r="DP8" s="3356"/>
      <c r="DQ8" s="3356"/>
      <c r="DR8" s="3356"/>
      <c r="DS8" s="3356"/>
      <c r="DT8" s="3356"/>
      <c r="DU8" s="3356"/>
      <c r="DV8" s="3356"/>
      <c r="DW8" s="3356"/>
      <c r="DX8" s="3356"/>
      <c r="DY8" s="3356"/>
      <c r="DZ8" s="3356"/>
      <c r="EA8" s="3356"/>
      <c r="EB8" s="3356"/>
      <c r="EC8" s="3356"/>
      <c r="ED8" s="3356"/>
      <c r="EE8" s="3356"/>
      <c r="EF8" s="3356"/>
      <c r="EG8" s="3356"/>
      <c r="EH8" s="3356"/>
      <c r="EI8" s="3356"/>
      <c r="EJ8" s="3356"/>
      <c r="EK8" s="3356"/>
      <c r="EL8" s="3356"/>
      <c r="EM8" s="3356"/>
      <c r="EN8" s="3356"/>
      <c r="EO8" s="3356"/>
      <c r="EP8" s="3356"/>
      <c r="EQ8" s="3356"/>
      <c r="ER8" s="3356"/>
      <c r="ES8" s="3356"/>
      <c r="ET8" s="3356"/>
      <c r="EU8" s="3356"/>
      <c r="EV8" s="3356"/>
      <c r="EW8" s="3356"/>
      <c r="EX8" s="3356"/>
      <c r="EY8" s="3356"/>
      <c r="EZ8" s="3356"/>
      <c r="FA8" s="3356"/>
      <c r="FB8" s="3356"/>
      <c r="FC8" s="3356"/>
      <c r="FD8" s="3356"/>
      <c r="FE8" s="3356"/>
      <c r="FF8" s="3356"/>
      <c r="FG8" s="3356"/>
      <c r="FH8" s="3356"/>
      <c r="FI8" s="3356"/>
      <c r="FJ8" s="3356"/>
      <c r="FK8" s="3356"/>
      <c r="FL8" s="3356"/>
      <c r="FM8" s="3356"/>
      <c r="FN8" s="3356"/>
      <c r="FO8" s="3356"/>
      <c r="FP8" s="3356"/>
      <c r="FQ8" s="3356"/>
      <c r="FR8" s="3356"/>
      <c r="FS8" s="3356"/>
      <c r="FT8" s="3356"/>
      <c r="FU8" s="3356"/>
      <c r="FV8" s="3356"/>
      <c r="FW8" s="3356"/>
      <c r="FX8" s="3356"/>
      <c r="FY8" s="3356"/>
      <c r="FZ8" s="3356"/>
      <c r="GA8" s="3356"/>
      <c r="GB8" s="3356"/>
      <c r="GC8" s="3356"/>
      <c r="GD8" s="3356"/>
      <c r="GE8" s="3356"/>
      <c r="GF8" s="3356"/>
      <c r="GG8" s="3356"/>
      <c r="GH8" s="3356"/>
      <c r="GI8" s="3356"/>
      <c r="GJ8" s="3356"/>
      <c r="GK8" s="3356"/>
      <c r="GL8" s="3356"/>
      <c r="GM8" s="3356"/>
      <c r="GN8" s="3356"/>
      <c r="GO8" s="3356"/>
      <c r="GP8" s="3356"/>
      <c r="GQ8" s="3356"/>
      <c r="GR8" s="3356"/>
      <c r="GS8" s="3356"/>
      <c r="GT8" s="3356"/>
      <c r="GU8" s="3356"/>
      <c r="GV8" s="3356"/>
      <c r="GW8" s="3356"/>
      <c r="GX8" s="3356"/>
      <c r="GY8" s="3356"/>
      <c r="GZ8" s="3356"/>
      <c r="HA8" s="3356"/>
      <c r="HB8" s="3356"/>
      <c r="HC8" s="3356"/>
      <c r="HD8" s="3356"/>
      <c r="HE8" s="3356"/>
      <c r="HF8" s="3356"/>
      <c r="HG8" s="3356"/>
      <c r="HH8" s="3356"/>
      <c r="HI8" s="3356"/>
      <c r="HJ8" s="3356"/>
      <c r="HK8" s="3356"/>
      <c r="HL8" s="3356"/>
      <c r="HM8" s="3356"/>
      <c r="HN8" s="3356"/>
      <c r="HO8" s="3356"/>
      <c r="HP8" s="3356"/>
      <c r="HQ8" s="3356"/>
      <c r="HR8" s="3356"/>
      <c r="HS8" s="3356"/>
      <c r="HT8" s="3356"/>
      <c r="HU8" s="3356"/>
      <c r="HV8" s="3356"/>
      <c r="HW8" s="3356"/>
      <c r="HX8" s="3356"/>
      <c r="HY8" s="3356"/>
      <c r="HZ8" s="3356"/>
      <c r="IA8" s="3356"/>
      <c r="IB8" s="3356"/>
      <c r="IC8" s="3356"/>
      <c r="ID8" s="3356"/>
      <c r="IE8" s="3356"/>
      <c r="IF8" s="3356"/>
      <c r="IG8" s="3356"/>
      <c r="IH8" s="3356"/>
      <c r="II8" s="3356"/>
      <c r="IJ8" s="3356"/>
      <c r="IK8" s="3356"/>
      <c r="IL8" s="3356"/>
      <c r="IM8" s="3356"/>
      <c r="IN8" s="3356"/>
      <c r="IO8" s="3356"/>
      <c r="IP8" s="3356"/>
      <c r="IQ8" s="3356"/>
      <c r="IR8" s="3356"/>
      <c r="IS8" s="3356"/>
      <c r="IT8" s="3356"/>
      <c r="IU8" s="3356"/>
    </row>
    <row r="9" spans="1:255">
      <c r="A9" s="3345" t="s">
        <v>3646</v>
      </c>
      <c r="B9" s="3345" t="s">
        <v>3641</v>
      </c>
      <c r="C9" s="3354" t="s">
        <v>3645</v>
      </c>
      <c r="D9" s="3354" t="s">
        <v>3644</v>
      </c>
      <c r="E9" s="3355" t="s">
        <v>3135</v>
      </c>
      <c r="F9" s="3355" t="s">
        <v>3134</v>
      </c>
      <c r="G9" s="3337"/>
      <c r="H9" s="3337" t="s">
        <v>3604</v>
      </c>
      <c r="I9" s="3337" t="s">
        <v>3643</v>
      </c>
      <c r="J9" s="3354" t="s">
        <v>3642</v>
      </c>
      <c r="K9" s="3337" t="s">
        <v>3641</v>
      </c>
      <c r="L9" s="3337">
        <v>57.56</v>
      </c>
      <c r="M9" s="3337">
        <v>1</v>
      </c>
      <c r="N9" s="3337" t="s">
        <v>3149</v>
      </c>
      <c r="O9" s="3337"/>
      <c r="P9" s="3337" t="s">
        <v>2972</v>
      </c>
      <c r="Q9" s="3353">
        <v>490000</v>
      </c>
      <c r="R9" s="3352">
        <v>8513</v>
      </c>
      <c r="S9" s="3351">
        <v>44.03</v>
      </c>
      <c r="T9" s="3350">
        <v>440300</v>
      </c>
      <c r="U9" s="3337">
        <v>7650</v>
      </c>
      <c r="V9" s="3349">
        <v>0.2</v>
      </c>
      <c r="W9" s="3348">
        <v>35.22</v>
      </c>
      <c r="X9" s="3347">
        <v>352200</v>
      </c>
      <c r="Y9" s="3336">
        <v>2008</v>
      </c>
      <c r="Z9" s="3336">
        <v>5</v>
      </c>
      <c r="AA9" s="3336">
        <v>28</v>
      </c>
      <c r="AB9" s="3337">
        <v>1320</v>
      </c>
      <c r="AC9" s="3337" t="s">
        <v>3140</v>
      </c>
      <c r="AD9" s="3346" t="s">
        <v>3640</v>
      </c>
      <c r="AE9" s="3336" t="s">
        <v>3147</v>
      </c>
      <c r="AF9" s="3337" t="s">
        <v>2975</v>
      </c>
      <c r="AG9" s="3337" t="s">
        <v>2976</v>
      </c>
      <c r="AH9" s="3345"/>
      <c r="AI9" s="3337" t="s">
        <v>3128</v>
      </c>
      <c r="AJ9" s="3344"/>
      <c r="AK9" s="3343" t="s">
        <v>3108</v>
      </c>
      <c r="AL9" s="3336">
        <v>35</v>
      </c>
      <c r="AM9" s="3336" t="s">
        <v>3639</v>
      </c>
      <c r="AN9" s="3337" t="s">
        <v>3003</v>
      </c>
      <c r="AO9" s="3336"/>
      <c r="AP9" s="3336" t="s">
        <v>3601</v>
      </c>
      <c r="AQ9" s="3337" t="s">
        <v>3125</v>
      </c>
      <c r="AR9" s="3336"/>
      <c r="AS9" s="3336"/>
      <c r="AT9" s="3336"/>
      <c r="AU9" s="3336"/>
      <c r="AV9" s="3336"/>
      <c r="AW9" s="3336" t="s">
        <v>3144</v>
      </c>
      <c r="AX9" s="3336"/>
      <c r="AY9" s="3342"/>
      <c r="AZ9" s="3336" t="s">
        <v>3638</v>
      </c>
      <c r="BA9" s="3336"/>
      <c r="BB9" s="3342"/>
      <c r="BC9" s="3336"/>
      <c r="BD9" s="3341"/>
      <c r="BE9" s="3336"/>
      <c r="BF9" s="3340"/>
      <c r="BG9" s="3339">
        <v>39582</v>
      </c>
      <c r="BH9" s="3336"/>
      <c r="BI9" s="3336" t="s">
        <v>3147</v>
      </c>
      <c r="BJ9" s="3338">
        <v>39591</v>
      </c>
      <c r="BK9" s="3338"/>
      <c r="BL9" s="3337" t="s">
        <v>3007</v>
      </c>
      <c r="BM9" s="3336" t="s">
        <v>2881</v>
      </c>
      <c r="BN9" s="3336" t="s">
        <v>3008</v>
      </c>
      <c r="BO9" s="3336" t="s">
        <v>3009</v>
      </c>
      <c r="BP9" s="3336"/>
      <c r="BQ9" s="3336" t="e">
        <v>#DIV/0!</v>
      </c>
      <c r="BR9" s="3336" t="e">
        <v>#DIV/0!</v>
      </c>
      <c r="BS9" s="3335" t="s">
        <v>3147</v>
      </c>
      <c r="BT9" s="3335" t="s">
        <v>3140</v>
      </c>
      <c r="BU9" s="3356"/>
      <c r="BV9" s="3356"/>
      <c r="BW9" s="3356"/>
      <c r="BX9" s="3356"/>
      <c r="BY9" s="3356"/>
      <c r="BZ9" s="3356"/>
      <c r="CA9" s="3356"/>
      <c r="CB9" s="3356"/>
      <c r="CC9" s="3356"/>
      <c r="CD9" s="3356"/>
      <c r="CE9" s="3356"/>
      <c r="CF9" s="3356"/>
      <c r="CG9" s="3356"/>
      <c r="CH9" s="3356"/>
      <c r="CI9" s="3356"/>
      <c r="CJ9" s="3356"/>
      <c r="CK9" s="3356"/>
      <c r="CL9" s="3356"/>
      <c r="CM9" s="3356"/>
      <c r="CN9" s="3356"/>
      <c r="CO9" s="3356"/>
      <c r="CP9" s="3356"/>
      <c r="CQ9" s="3356"/>
      <c r="CR9" s="3356"/>
      <c r="CS9" s="3356"/>
      <c r="CT9" s="3356"/>
      <c r="CU9" s="3356"/>
      <c r="CV9" s="3356"/>
      <c r="CW9" s="3356"/>
      <c r="CX9" s="3356"/>
      <c r="CY9" s="3356"/>
      <c r="CZ9" s="3356"/>
      <c r="DA9" s="3356"/>
      <c r="DB9" s="3356"/>
      <c r="DC9" s="3356"/>
      <c r="DD9" s="3356"/>
      <c r="DE9" s="3356"/>
      <c r="DF9" s="3356"/>
      <c r="DG9" s="3356"/>
      <c r="DH9" s="3356"/>
      <c r="DI9" s="3356"/>
      <c r="DJ9" s="3356"/>
      <c r="DK9" s="3356"/>
      <c r="DL9" s="3356"/>
      <c r="DM9" s="3356"/>
      <c r="DN9" s="3356"/>
      <c r="DO9" s="3356"/>
      <c r="DP9" s="3356"/>
      <c r="DQ9" s="3356"/>
      <c r="DR9" s="3356"/>
      <c r="DS9" s="3356"/>
      <c r="DT9" s="3356"/>
      <c r="DU9" s="3356"/>
      <c r="DV9" s="3356"/>
      <c r="DW9" s="3356"/>
      <c r="DX9" s="3356"/>
      <c r="DY9" s="3356"/>
      <c r="DZ9" s="3356"/>
      <c r="EA9" s="3356"/>
      <c r="EB9" s="3356"/>
      <c r="EC9" s="3356"/>
      <c r="ED9" s="3356"/>
      <c r="EE9" s="3356"/>
      <c r="EF9" s="3356"/>
      <c r="EG9" s="3356"/>
      <c r="EH9" s="3356"/>
      <c r="EI9" s="3356"/>
      <c r="EJ9" s="3356"/>
      <c r="EK9" s="3356"/>
      <c r="EL9" s="3356"/>
      <c r="EM9" s="3356"/>
      <c r="EN9" s="3356"/>
      <c r="EO9" s="3356"/>
      <c r="EP9" s="3356"/>
      <c r="EQ9" s="3356"/>
      <c r="ER9" s="3356"/>
      <c r="ES9" s="3356"/>
      <c r="ET9" s="3356"/>
      <c r="EU9" s="3356"/>
      <c r="EV9" s="3356"/>
      <c r="EW9" s="3356"/>
      <c r="EX9" s="3356"/>
      <c r="EY9" s="3356"/>
      <c r="EZ9" s="3356"/>
      <c r="FA9" s="3356"/>
      <c r="FB9" s="3356"/>
      <c r="FC9" s="3356"/>
      <c r="FD9" s="3356"/>
      <c r="FE9" s="3356"/>
      <c r="FF9" s="3356"/>
      <c r="FG9" s="3356"/>
      <c r="FH9" s="3356"/>
      <c r="FI9" s="3356"/>
      <c r="FJ9" s="3356"/>
      <c r="FK9" s="3356"/>
      <c r="FL9" s="3356"/>
      <c r="FM9" s="3356"/>
      <c r="FN9" s="3356"/>
      <c r="FO9" s="3356"/>
      <c r="FP9" s="3356"/>
      <c r="FQ9" s="3356"/>
      <c r="FR9" s="3356"/>
      <c r="FS9" s="3356"/>
      <c r="FT9" s="3356"/>
      <c r="FU9" s="3356"/>
      <c r="FV9" s="3356"/>
      <c r="FW9" s="3356"/>
      <c r="FX9" s="3356"/>
      <c r="FY9" s="3356"/>
      <c r="FZ9" s="3356"/>
      <c r="GA9" s="3356"/>
      <c r="GB9" s="3356"/>
      <c r="GC9" s="3356"/>
      <c r="GD9" s="3356"/>
      <c r="GE9" s="3356"/>
      <c r="GF9" s="3356"/>
      <c r="GG9" s="3356"/>
      <c r="GH9" s="3356"/>
      <c r="GI9" s="3356"/>
      <c r="GJ9" s="3356"/>
      <c r="GK9" s="3356"/>
      <c r="GL9" s="3356"/>
      <c r="GM9" s="3356"/>
      <c r="GN9" s="3356"/>
      <c r="GO9" s="3356"/>
      <c r="GP9" s="3356"/>
      <c r="GQ9" s="3356"/>
      <c r="GR9" s="3356"/>
      <c r="GS9" s="3356"/>
      <c r="GT9" s="3356"/>
      <c r="GU9" s="3356"/>
      <c r="GV9" s="3356"/>
      <c r="GW9" s="3356"/>
      <c r="GX9" s="3356"/>
      <c r="GY9" s="3356"/>
      <c r="GZ9" s="3356"/>
      <c r="HA9" s="3356"/>
      <c r="HB9" s="3356"/>
      <c r="HC9" s="3356"/>
      <c r="HD9" s="3356"/>
      <c r="HE9" s="3356"/>
      <c r="HF9" s="3356"/>
      <c r="HG9" s="3356"/>
      <c r="HH9" s="3356"/>
      <c r="HI9" s="3356"/>
      <c r="HJ9" s="3356"/>
      <c r="HK9" s="3356"/>
      <c r="HL9" s="3356"/>
      <c r="HM9" s="3356"/>
      <c r="HN9" s="3356"/>
      <c r="HO9" s="3356"/>
      <c r="HP9" s="3356"/>
      <c r="HQ9" s="3356"/>
      <c r="HR9" s="3356"/>
      <c r="HS9" s="3356"/>
      <c r="HT9" s="3356"/>
      <c r="HU9" s="3356"/>
      <c r="HV9" s="3356"/>
      <c r="HW9" s="3356"/>
      <c r="HX9" s="3356"/>
      <c r="HY9" s="3356"/>
      <c r="HZ9" s="3356"/>
      <c r="IA9" s="3356"/>
      <c r="IB9" s="3356"/>
      <c r="IC9" s="3356"/>
      <c r="ID9" s="3356"/>
      <c r="IE9" s="3356"/>
      <c r="IF9" s="3356"/>
      <c r="IG9" s="3356"/>
      <c r="IH9" s="3356"/>
      <c r="II9" s="3356"/>
      <c r="IJ9" s="3356"/>
      <c r="IK9" s="3356"/>
      <c r="IL9" s="3356"/>
      <c r="IM9" s="3356"/>
      <c r="IN9" s="3356"/>
      <c r="IO9" s="3356"/>
      <c r="IP9" s="3356"/>
      <c r="IQ9" s="3356"/>
      <c r="IR9" s="3356"/>
      <c r="IS9" s="3356"/>
      <c r="IT9" s="3356"/>
      <c r="IU9" s="3356"/>
    </row>
    <row r="10" spans="1:255">
      <c r="A10" s="3337" t="s">
        <v>3637</v>
      </c>
      <c r="B10" s="3345" t="s">
        <v>3632</v>
      </c>
      <c r="C10" s="3354" t="s">
        <v>3636</v>
      </c>
      <c r="D10" s="3361" t="s">
        <v>3635</v>
      </c>
      <c r="E10" s="3337" t="s">
        <v>3135</v>
      </c>
      <c r="F10" s="3337" t="s">
        <v>3211</v>
      </c>
      <c r="G10" s="3337"/>
      <c r="H10" s="3337" t="s">
        <v>3580</v>
      </c>
      <c r="I10" s="3361" t="s">
        <v>3634</v>
      </c>
      <c r="J10" s="3337" t="s">
        <v>3633</v>
      </c>
      <c r="K10" s="3361" t="s">
        <v>3632</v>
      </c>
      <c r="L10" s="3337">
        <v>115.27</v>
      </c>
      <c r="M10" s="3368">
        <v>3</v>
      </c>
      <c r="N10" s="3337" t="s">
        <v>2998</v>
      </c>
      <c r="O10" s="3337"/>
      <c r="P10" s="3337" t="s">
        <v>2972</v>
      </c>
      <c r="Q10" s="3337">
        <v>860000</v>
      </c>
      <c r="R10" s="3367">
        <v>7461</v>
      </c>
      <c r="S10" s="3351">
        <v>83.57</v>
      </c>
      <c r="T10" s="3350">
        <v>835699.99999999988</v>
      </c>
      <c r="U10" s="3337">
        <v>7250</v>
      </c>
      <c r="V10" s="3349">
        <v>0.3</v>
      </c>
      <c r="W10" s="3348">
        <v>58.49</v>
      </c>
      <c r="X10" s="3366">
        <v>584900</v>
      </c>
      <c r="Y10" s="3337">
        <v>2008</v>
      </c>
      <c r="Z10" s="3337">
        <v>7</v>
      </c>
      <c r="AA10" s="3336">
        <v>11</v>
      </c>
      <c r="AB10" s="3337">
        <v>1500</v>
      </c>
      <c r="AC10" s="3337" t="s">
        <v>3140</v>
      </c>
      <c r="AD10" s="3365">
        <v>91162008070038</v>
      </c>
      <c r="AE10" s="3357" t="s">
        <v>3147</v>
      </c>
      <c r="AF10" s="3361" t="s">
        <v>2975</v>
      </c>
      <c r="AG10" s="3337" t="s">
        <v>2976</v>
      </c>
      <c r="AH10" s="3337"/>
      <c r="AI10" s="3357" t="s">
        <v>3128</v>
      </c>
      <c r="AJ10" s="3344"/>
      <c r="AK10" s="3337" t="s">
        <v>3002</v>
      </c>
      <c r="AL10" s="3337">
        <v>41</v>
      </c>
      <c r="AM10" s="3337" t="s">
        <v>3631</v>
      </c>
      <c r="AN10" s="3357" t="s">
        <v>3126</v>
      </c>
      <c r="AO10" s="3337"/>
      <c r="AP10" s="3357" t="s">
        <v>3258</v>
      </c>
      <c r="AQ10" s="3357" t="s">
        <v>3125</v>
      </c>
      <c r="AR10" s="3337"/>
      <c r="AS10" s="3337"/>
      <c r="AT10" s="3337"/>
      <c r="AU10" s="3337"/>
      <c r="AV10" s="3337"/>
      <c r="AW10" s="3336" t="s">
        <v>3144</v>
      </c>
      <c r="AX10" s="3336"/>
      <c r="AY10" s="3342"/>
      <c r="AZ10" s="3337" t="s">
        <v>3630</v>
      </c>
      <c r="BA10" s="3337"/>
      <c r="BB10" s="3337"/>
      <c r="BC10" s="3337"/>
      <c r="BD10" s="3337"/>
      <c r="BE10" s="3337">
        <v>13801008166</v>
      </c>
      <c r="BF10" s="3340"/>
      <c r="BG10" s="3358">
        <v>39636</v>
      </c>
      <c r="BH10" s="3337"/>
      <c r="BI10" s="3337" t="s">
        <v>3258</v>
      </c>
      <c r="BJ10" s="3358">
        <v>39638</v>
      </c>
      <c r="BK10" s="3337"/>
      <c r="BL10" s="3337" t="s">
        <v>3007</v>
      </c>
      <c r="BM10" s="3337" t="s">
        <v>2881</v>
      </c>
      <c r="BN10" s="3337" t="s">
        <v>3122</v>
      </c>
      <c r="BO10" s="3337" t="s">
        <v>3009</v>
      </c>
      <c r="BP10" s="3337"/>
      <c r="BQ10" s="3336" t="e">
        <v>#DIV/0!</v>
      </c>
      <c r="BR10" s="3336" t="e">
        <v>#DIV/0!</v>
      </c>
      <c r="BS10" s="3335" t="s">
        <v>3258</v>
      </c>
      <c r="BT10" s="3335" t="s">
        <v>3140</v>
      </c>
      <c r="BU10" s="3356"/>
      <c r="BV10" s="3356"/>
      <c r="BW10" s="3356"/>
      <c r="BX10" s="3356"/>
      <c r="BY10" s="3356"/>
      <c r="BZ10" s="3356"/>
      <c r="CA10" s="3356"/>
      <c r="CB10" s="3356"/>
      <c r="CC10" s="3356"/>
      <c r="CD10" s="3356"/>
      <c r="CE10" s="3356"/>
      <c r="CF10" s="3356"/>
      <c r="CG10" s="3356"/>
      <c r="CH10" s="3356"/>
      <c r="CI10" s="3356"/>
      <c r="CJ10" s="3356"/>
      <c r="CK10" s="3356"/>
      <c r="CL10" s="3356"/>
      <c r="CM10" s="3356"/>
      <c r="CN10" s="3356"/>
      <c r="CO10" s="3356"/>
      <c r="CP10" s="3356"/>
      <c r="CQ10" s="3356"/>
      <c r="CR10" s="3356"/>
      <c r="CS10" s="3356"/>
      <c r="CT10" s="3356"/>
      <c r="CU10" s="3356"/>
      <c r="CV10" s="3356"/>
      <c r="CW10" s="3356"/>
      <c r="CX10" s="3356"/>
      <c r="CY10" s="3356"/>
      <c r="CZ10" s="3356"/>
      <c r="DA10" s="3356"/>
      <c r="DB10" s="3356"/>
      <c r="DC10" s="3356"/>
      <c r="DD10" s="3356"/>
      <c r="DE10" s="3356"/>
      <c r="DF10" s="3356"/>
      <c r="DG10" s="3356"/>
      <c r="DH10" s="3356"/>
      <c r="DI10" s="3356"/>
      <c r="DJ10" s="3356"/>
      <c r="DK10" s="3356"/>
      <c r="DL10" s="3356"/>
      <c r="DM10" s="3356"/>
      <c r="DN10" s="3356"/>
      <c r="DO10" s="3356"/>
      <c r="DP10" s="3356"/>
      <c r="DQ10" s="3356"/>
      <c r="DR10" s="3356"/>
      <c r="DS10" s="3356"/>
      <c r="DT10" s="3356"/>
      <c r="DU10" s="3356"/>
      <c r="DV10" s="3356"/>
      <c r="DW10" s="3356"/>
      <c r="DX10" s="3356"/>
      <c r="DY10" s="3356"/>
      <c r="DZ10" s="3356"/>
      <c r="EA10" s="3356"/>
      <c r="EB10" s="3356"/>
      <c r="EC10" s="3356"/>
      <c r="ED10" s="3356"/>
      <c r="EE10" s="3356"/>
      <c r="EF10" s="3356"/>
      <c r="EG10" s="3356"/>
      <c r="EH10" s="3356"/>
      <c r="EI10" s="3356"/>
      <c r="EJ10" s="3356"/>
      <c r="EK10" s="3356"/>
      <c r="EL10" s="3356"/>
      <c r="EM10" s="3356"/>
      <c r="EN10" s="3356"/>
      <c r="EO10" s="3356"/>
      <c r="EP10" s="3356"/>
      <c r="EQ10" s="3356"/>
      <c r="ER10" s="3356"/>
      <c r="ES10" s="3356"/>
      <c r="ET10" s="3356"/>
      <c r="EU10" s="3356"/>
      <c r="EV10" s="3356"/>
      <c r="EW10" s="3356"/>
      <c r="EX10" s="3356"/>
      <c r="EY10" s="3356"/>
      <c r="EZ10" s="3356"/>
      <c r="FA10" s="3356"/>
      <c r="FB10" s="3356"/>
      <c r="FC10" s="3356"/>
      <c r="FD10" s="3356"/>
      <c r="FE10" s="3356"/>
      <c r="FF10" s="3356"/>
      <c r="FG10" s="3356"/>
      <c r="FH10" s="3356"/>
      <c r="FI10" s="3356"/>
      <c r="FJ10" s="3356"/>
      <c r="FK10" s="3356"/>
      <c r="FL10" s="3356"/>
      <c r="FM10" s="3356"/>
      <c r="FN10" s="3356"/>
      <c r="FO10" s="3356"/>
      <c r="FP10" s="3356"/>
      <c r="FQ10" s="3356"/>
      <c r="FR10" s="3356"/>
      <c r="FS10" s="3356"/>
      <c r="FT10" s="3356"/>
      <c r="FU10" s="3356"/>
      <c r="FV10" s="3356"/>
      <c r="FW10" s="3356"/>
      <c r="FX10" s="3356"/>
      <c r="FY10" s="3356"/>
      <c r="FZ10" s="3356"/>
      <c r="GA10" s="3356"/>
      <c r="GB10" s="3356"/>
      <c r="GC10" s="3356"/>
      <c r="GD10" s="3356"/>
      <c r="GE10" s="3356"/>
      <c r="GF10" s="3356"/>
      <c r="GG10" s="3356"/>
      <c r="GH10" s="3356"/>
      <c r="GI10" s="3356"/>
      <c r="GJ10" s="3356"/>
      <c r="GK10" s="3356"/>
      <c r="GL10" s="3356"/>
      <c r="GM10" s="3356"/>
      <c r="GN10" s="3356"/>
      <c r="GO10" s="3356"/>
      <c r="GP10" s="3356"/>
      <c r="GQ10" s="3356"/>
      <c r="GR10" s="3356"/>
      <c r="GS10" s="3356"/>
      <c r="GT10" s="3356"/>
      <c r="GU10" s="3356"/>
      <c r="GV10" s="3356"/>
      <c r="GW10" s="3356"/>
      <c r="GX10" s="3356"/>
      <c r="GY10" s="3356"/>
      <c r="GZ10" s="3356"/>
      <c r="HA10" s="3356"/>
      <c r="HB10" s="3356"/>
      <c r="HC10" s="3356"/>
      <c r="HD10" s="3356"/>
      <c r="HE10" s="3356"/>
      <c r="HF10" s="3356"/>
      <c r="HG10" s="3356"/>
      <c r="HH10" s="3356"/>
      <c r="HI10" s="3356"/>
      <c r="HJ10" s="3356"/>
      <c r="HK10" s="3356"/>
      <c r="HL10" s="3356"/>
      <c r="HM10" s="3356"/>
      <c r="HN10" s="3356"/>
      <c r="HO10" s="3356"/>
      <c r="HP10" s="3356"/>
      <c r="HQ10" s="3356"/>
      <c r="HR10" s="3356"/>
      <c r="HS10" s="3356"/>
      <c r="HT10" s="3356"/>
      <c r="HU10" s="3356"/>
      <c r="HV10" s="3356"/>
      <c r="HW10" s="3356"/>
      <c r="HX10" s="3356"/>
      <c r="HY10" s="3356"/>
      <c r="HZ10" s="3356"/>
      <c r="IA10" s="3356"/>
      <c r="IB10" s="3356"/>
      <c r="IC10" s="3356"/>
      <c r="ID10" s="3356"/>
      <c r="IE10" s="3356"/>
      <c r="IF10" s="3356"/>
      <c r="IG10" s="3356"/>
      <c r="IH10" s="3356"/>
      <c r="II10" s="3356"/>
      <c r="IJ10" s="3356"/>
      <c r="IK10" s="3356"/>
      <c r="IL10" s="3356"/>
      <c r="IM10" s="3356"/>
      <c r="IN10" s="3356"/>
      <c r="IO10" s="3356"/>
      <c r="IP10" s="3356"/>
      <c r="IQ10" s="3356"/>
      <c r="IR10" s="3356"/>
      <c r="IS10" s="3356"/>
      <c r="IT10" s="3356"/>
      <c r="IU10" s="3356"/>
    </row>
    <row r="11" spans="1:255">
      <c r="A11" s="3345" t="s">
        <v>3629</v>
      </c>
      <c r="B11" s="3337" t="s">
        <v>3624</v>
      </c>
      <c r="C11" s="3354" t="s">
        <v>3628</v>
      </c>
      <c r="D11" s="3354" t="s">
        <v>3627</v>
      </c>
      <c r="E11" s="3337" t="s">
        <v>3135</v>
      </c>
      <c r="F11" s="3355" t="s">
        <v>3134</v>
      </c>
      <c r="G11" s="3337"/>
      <c r="H11" s="3337" t="s">
        <v>3626</v>
      </c>
      <c r="I11" s="3337" t="s">
        <v>3384</v>
      </c>
      <c r="J11" s="3354" t="s">
        <v>3625</v>
      </c>
      <c r="K11" s="3337" t="s">
        <v>3624</v>
      </c>
      <c r="L11" s="3337">
        <v>68.819999999999993</v>
      </c>
      <c r="M11" s="3337">
        <v>2</v>
      </c>
      <c r="N11" s="3337" t="s">
        <v>3149</v>
      </c>
      <c r="O11" s="3337"/>
      <c r="P11" s="3337" t="s">
        <v>2972</v>
      </c>
      <c r="Q11" s="3353">
        <v>470000</v>
      </c>
      <c r="R11" s="3352">
        <v>6829</v>
      </c>
      <c r="S11" s="3351">
        <v>48.2</v>
      </c>
      <c r="T11" s="3350">
        <v>482000</v>
      </c>
      <c r="U11" s="3337">
        <v>7005</v>
      </c>
      <c r="V11" s="3349">
        <v>0.2</v>
      </c>
      <c r="W11" s="3348">
        <v>38.56</v>
      </c>
      <c r="X11" s="3347">
        <v>385600</v>
      </c>
      <c r="Y11" s="3336">
        <v>2008</v>
      </c>
      <c r="Z11" s="3336">
        <v>9</v>
      </c>
      <c r="AA11" s="3336">
        <v>5</v>
      </c>
      <c r="AB11" s="3337">
        <v>1445</v>
      </c>
      <c r="AC11" s="3363" t="s">
        <v>3140</v>
      </c>
      <c r="AD11" s="3345">
        <v>91162008090038</v>
      </c>
      <c r="AE11" s="3337" t="s">
        <v>3147</v>
      </c>
      <c r="AF11" s="3337" t="s">
        <v>2975</v>
      </c>
      <c r="AG11" s="3337" t="s">
        <v>2976</v>
      </c>
      <c r="AH11" s="3345"/>
      <c r="AI11" s="3337" t="s">
        <v>3128</v>
      </c>
      <c r="AJ11" s="3344"/>
      <c r="AK11" s="3343" t="s">
        <v>3289</v>
      </c>
      <c r="AL11" s="3336">
        <v>35</v>
      </c>
      <c r="AM11" s="3336" t="s">
        <v>3623</v>
      </c>
      <c r="AN11" s="3336" t="s">
        <v>3193</v>
      </c>
      <c r="AO11" s="3336"/>
      <c r="AP11" s="3336" t="s">
        <v>3258</v>
      </c>
      <c r="AQ11" s="3364" t="s">
        <v>3125</v>
      </c>
      <c r="AR11" s="3336"/>
      <c r="AS11" s="3336"/>
      <c r="AT11" s="3336"/>
      <c r="AU11" s="3336"/>
      <c r="AV11" s="3336"/>
      <c r="AW11" s="3336" t="s">
        <v>3144</v>
      </c>
      <c r="AX11" s="3336"/>
      <c r="AY11" s="3342"/>
      <c r="AZ11" s="3336" t="s">
        <v>3622</v>
      </c>
      <c r="BA11" s="3336"/>
      <c r="BB11" s="3342"/>
      <c r="BC11" s="3336"/>
      <c r="BD11" s="3341"/>
      <c r="BE11" s="3336">
        <v>13716760467</v>
      </c>
      <c r="BF11" s="3340"/>
      <c r="BG11" s="3339">
        <v>39686</v>
      </c>
      <c r="BH11" s="3336"/>
      <c r="BI11" s="3336" t="s">
        <v>3258</v>
      </c>
      <c r="BJ11" s="3338">
        <v>39695</v>
      </c>
      <c r="BK11" s="3338"/>
      <c r="BL11" s="3336" t="s">
        <v>3007</v>
      </c>
      <c r="BM11" s="3336" t="s">
        <v>2881</v>
      </c>
      <c r="BN11" s="3336" t="s">
        <v>3008</v>
      </c>
      <c r="BO11" s="3336" t="s">
        <v>3259</v>
      </c>
      <c r="BP11" s="3336"/>
      <c r="BQ11" s="3336" t="e">
        <v>#DIV/0!</v>
      </c>
      <c r="BR11" s="3336" t="e">
        <v>#DIV/0!</v>
      </c>
      <c r="BS11" s="3335" t="s">
        <v>3258</v>
      </c>
      <c r="BT11" s="3335" t="s">
        <v>3140</v>
      </c>
      <c r="BU11" s="3356"/>
      <c r="BV11" s="3356"/>
      <c r="BW11" s="3356"/>
      <c r="BX11" s="3356"/>
      <c r="BY11" s="3356"/>
      <c r="BZ11" s="3356"/>
      <c r="CA11" s="3356"/>
      <c r="CB11" s="3356"/>
      <c r="CC11" s="3356"/>
      <c r="CD11" s="3356"/>
      <c r="CE11" s="3356"/>
      <c r="CF11" s="3356"/>
      <c r="CG11" s="3356"/>
      <c r="CH11" s="3356"/>
      <c r="CI11" s="3356"/>
      <c r="CJ11" s="3356"/>
      <c r="CK11" s="3356"/>
      <c r="CL11" s="3356"/>
      <c r="CM11" s="3356"/>
      <c r="CN11" s="3356"/>
      <c r="CO11" s="3356"/>
      <c r="CP11" s="3356"/>
      <c r="CQ11" s="3356"/>
      <c r="CR11" s="3356"/>
      <c r="CS11" s="3356"/>
      <c r="CT11" s="3356"/>
      <c r="CU11" s="3356"/>
      <c r="CV11" s="3356"/>
      <c r="CW11" s="3356"/>
      <c r="CX11" s="3356"/>
      <c r="CY11" s="3356"/>
      <c r="CZ11" s="3356"/>
      <c r="DA11" s="3356"/>
      <c r="DB11" s="3356"/>
      <c r="DC11" s="3356"/>
      <c r="DD11" s="3356"/>
      <c r="DE11" s="3356"/>
      <c r="DF11" s="3356"/>
      <c r="DG11" s="3356"/>
      <c r="DH11" s="3356"/>
      <c r="DI11" s="3356"/>
      <c r="DJ11" s="3356"/>
      <c r="DK11" s="3356"/>
      <c r="DL11" s="3356"/>
      <c r="DM11" s="3356"/>
      <c r="DN11" s="3356"/>
      <c r="DO11" s="3356"/>
      <c r="DP11" s="3356"/>
      <c r="DQ11" s="3356"/>
      <c r="DR11" s="3356"/>
      <c r="DS11" s="3356"/>
      <c r="DT11" s="3356"/>
      <c r="DU11" s="3356"/>
      <c r="DV11" s="3356"/>
      <c r="DW11" s="3356"/>
      <c r="DX11" s="3356"/>
      <c r="DY11" s="3356"/>
      <c r="DZ11" s="3356"/>
      <c r="EA11" s="3356"/>
      <c r="EB11" s="3356"/>
      <c r="EC11" s="3356"/>
      <c r="ED11" s="3356"/>
      <c r="EE11" s="3356"/>
      <c r="EF11" s="3356"/>
      <c r="EG11" s="3356"/>
      <c r="EH11" s="3356"/>
      <c r="EI11" s="3356"/>
      <c r="EJ11" s="3356"/>
      <c r="EK11" s="3356"/>
      <c r="EL11" s="3356"/>
      <c r="EM11" s="3356"/>
      <c r="EN11" s="3356"/>
      <c r="EO11" s="3356"/>
      <c r="EP11" s="3356"/>
      <c r="EQ11" s="3356"/>
      <c r="ER11" s="3356"/>
      <c r="ES11" s="3356"/>
      <c r="ET11" s="3356"/>
      <c r="EU11" s="3356"/>
      <c r="EV11" s="3356"/>
      <c r="EW11" s="3356"/>
      <c r="EX11" s="3356"/>
      <c r="EY11" s="3356"/>
      <c r="EZ11" s="3356"/>
      <c r="FA11" s="3356"/>
      <c r="FB11" s="3356"/>
      <c r="FC11" s="3356"/>
      <c r="FD11" s="3356"/>
      <c r="FE11" s="3356"/>
      <c r="FF11" s="3356"/>
      <c r="FG11" s="3356"/>
      <c r="FH11" s="3356"/>
      <c r="FI11" s="3356"/>
      <c r="FJ11" s="3356"/>
      <c r="FK11" s="3356"/>
      <c r="FL11" s="3356"/>
      <c r="FM11" s="3356"/>
      <c r="FN11" s="3356"/>
      <c r="FO11" s="3356"/>
      <c r="FP11" s="3356"/>
      <c r="FQ11" s="3356"/>
      <c r="FR11" s="3356"/>
      <c r="FS11" s="3356"/>
      <c r="FT11" s="3356"/>
      <c r="FU11" s="3356"/>
      <c r="FV11" s="3356"/>
      <c r="FW11" s="3356"/>
      <c r="FX11" s="3356"/>
      <c r="FY11" s="3356"/>
      <c r="FZ11" s="3356"/>
      <c r="GA11" s="3356"/>
      <c r="GB11" s="3356"/>
      <c r="GC11" s="3356"/>
      <c r="GD11" s="3356"/>
      <c r="GE11" s="3356"/>
      <c r="GF11" s="3356"/>
      <c r="GG11" s="3356"/>
      <c r="GH11" s="3356"/>
      <c r="GI11" s="3356"/>
      <c r="GJ11" s="3356"/>
      <c r="GK11" s="3356"/>
      <c r="GL11" s="3356"/>
      <c r="GM11" s="3356"/>
      <c r="GN11" s="3356"/>
      <c r="GO11" s="3356"/>
      <c r="GP11" s="3356"/>
      <c r="GQ11" s="3356"/>
      <c r="GR11" s="3356"/>
      <c r="GS11" s="3356"/>
      <c r="GT11" s="3356"/>
      <c r="GU11" s="3356"/>
      <c r="GV11" s="3356"/>
      <c r="GW11" s="3356"/>
      <c r="GX11" s="3356"/>
      <c r="GY11" s="3356"/>
      <c r="GZ11" s="3356"/>
      <c r="HA11" s="3356"/>
      <c r="HB11" s="3356"/>
      <c r="HC11" s="3356"/>
      <c r="HD11" s="3356"/>
      <c r="HE11" s="3356"/>
      <c r="HF11" s="3356"/>
      <c r="HG11" s="3356"/>
      <c r="HH11" s="3356"/>
      <c r="HI11" s="3356"/>
      <c r="HJ11" s="3356"/>
      <c r="HK11" s="3356"/>
      <c r="HL11" s="3356"/>
      <c r="HM11" s="3356"/>
      <c r="HN11" s="3356"/>
      <c r="HO11" s="3356"/>
      <c r="HP11" s="3356"/>
      <c r="HQ11" s="3356"/>
      <c r="HR11" s="3356"/>
      <c r="HS11" s="3356"/>
      <c r="HT11" s="3356"/>
      <c r="HU11" s="3356"/>
      <c r="HV11" s="3356"/>
      <c r="HW11" s="3356"/>
      <c r="HX11" s="3356"/>
      <c r="HY11" s="3356"/>
      <c r="HZ11" s="3356"/>
      <c r="IA11" s="3356"/>
      <c r="IB11" s="3356"/>
      <c r="IC11" s="3356"/>
      <c r="ID11" s="3356"/>
      <c r="IE11" s="3356"/>
      <c r="IF11" s="3356"/>
      <c r="IG11" s="3356"/>
      <c r="IH11" s="3356"/>
      <c r="II11" s="3356"/>
      <c r="IJ11" s="3356"/>
      <c r="IK11" s="3356"/>
      <c r="IL11" s="3356"/>
      <c r="IM11" s="3356"/>
      <c r="IN11" s="3356"/>
      <c r="IO11" s="3356"/>
      <c r="IP11" s="3356"/>
      <c r="IQ11" s="3356"/>
      <c r="IR11" s="3356"/>
      <c r="IS11" s="3356"/>
      <c r="IT11" s="3356"/>
      <c r="IU11" s="3356"/>
    </row>
    <row r="12" spans="1:255">
      <c r="A12" s="3345" t="s">
        <v>3621</v>
      </c>
      <c r="B12" s="3337" t="s">
        <v>3617</v>
      </c>
      <c r="C12" s="3354" t="s">
        <v>3620</v>
      </c>
      <c r="D12" s="3354" t="s">
        <v>3619</v>
      </c>
      <c r="E12" s="3337" t="s">
        <v>3135</v>
      </c>
      <c r="F12" s="3355" t="s">
        <v>3134</v>
      </c>
      <c r="G12" s="3337"/>
      <c r="H12" s="3337" t="s">
        <v>3618</v>
      </c>
      <c r="I12" s="3337" t="s">
        <v>3327</v>
      </c>
      <c r="J12" s="3354" t="s">
        <v>3208</v>
      </c>
      <c r="K12" s="3337" t="s">
        <v>3617</v>
      </c>
      <c r="L12" s="3337">
        <v>87.56</v>
      </c>
      <c r="M12" s="3337">
        <v>2</v>
      </c>
      <c r="N12" s="3337" t="s">
        <v>3149</v>
      </c>
      <c r="O12" s="3337"/>
      <c r="P12" s="3337" t="s">
        <v>2972</v>
      </c>
      <c r="Q12" s="3353">
        <v>690000</v>
      </c>
      <c r="R12" s="3352">
        <v>7880</v>
      </c>
      <c r="S12" s="3351">
        <v>63.48</v>
      </c>
      <c r="T12" s="3350">
        <v>634800</v>
      </c>
      <c r="U12" s="3337">
        <v>7250</v>
      </c>
      <c r="V12" s="3349">
        <v>0.2</v>
      </c>
      <c r="W12" s="3348">
        <v>50.78</v>
      </c>
      <c r="X12" s="3347">
        <v>507800</v>
      </c>
      <c r="Y12" s="3336">
        <v>2008</v>
      </c>
      <c r="Z12" s="3336">
        <v>9</v>
      </c>
      <c r="AA12" s="3337">
        <v>1</v>
      </c>
      <c r="AB12" s="3337">
        <v>1500</v>
      </c>
      <c r="AC12" s="3363" t="s">
        <v>3140</v>
      </c>
      <c r="AD12" s="3362">
        <v>91162008080153</v>
      </c>
      <c r="AE12" s="3337" t="s">
        <v>3147</v>
      </c>
      <c r="AF12" s="3337" t="s">
        <v>2975</v>
      </c>
      <c r="AG12" s="3337" t="s">
        <v>2976</v>
      </c>
      <c r="AH12" s="3337"/>
      <c r="AI12" s="3337" t="s">
        <v>3128</v>
      </c>
      <c r="AJ12" s="3358"/>
      <c r="AK12" s="3343" t="s">
        <v>3289</v>
      </c>
      <c r="AL12" s="3337">
        <v>42</v>
      </c>
      <c r="AM12" s="3337" t="s">
        <v>3616</v>
      </c>
      <c r="AN12" s="3357" t="s">
        <v>3193</v>
      </c>
      <c r="AO12" s="3337"/>
      <c r="AP12" s="3337" t="s">
        <v>3601</v>
      </c>
      <c r="AQ12" s="3361" t="s">
        <v>3125</v>
      </c>
      <c r="AR12" s="3337"/>
      <c r="AS12" s="3337"/>
      <c r="AT12" s="3337"/>
      <c r="AU12" s="3337"/>
      <c r="AV12" s="3337"/>
      <c r="AW12" s="3337" t="s">
        <v>3006</v>
      </c>
      <c r="AX12" s="3337"/>
      <c r="AY12" s="3354"/>
      <c r="AZ12" s="3337"/>
      <c r="BA12" s="3337"/>
      <c r="BB12" s="3354"/>
      <c r="BC12" s="3337"/>
      <c r="BD12" s="3360"/>
      <c r="BE12" s="3337"/>
      <c r="BF12" s="3359"/>
      <c r="BG12" s="3358">
        <v>39686</v>
      </c>
      <c r="BH12" s="3337"/>
      <c r="BI12" s="3336" t="s">
        <v>3147</v>
      </c>
      <c r="BJ12" s="3338">
        <v>39689</v>
      </c>
      <c r="BK12" s="3358"/>
      <c r="BL12" s="3336" t="s">
        <v>3007</v>
      </c>
      <c r="BM12" s="3336"/>
      <c r="BN12" s="3336"/>
      <c r="BO12" s="3337"/>
      <c r="BP12" s="3337"/>
      <c r="BQ12" s="3336" t="e">
        <v>#DIV/0!</v>
      </c>
      <c r="BR12" s="3336" t="e">
        <v>#DIV/0!</v>
      </c>
      <c r="BS12" s="3335" t="s">
        <v>3147</v>
      </c>
      <c r="BT12" s="3335" t="s">
        <v>3140</v>
      </c>
      <c r="BU12" s="3356"/>
      <c r="BV12" s="3356"/>
      <c r="BW12" s="3356"/>
      <c r="BX12" s="3356"/>
      <c r="BY12" s="3356"/>
      <c r="BZ12" s="3356"/>
      <c r="CA12" s="3356"/>
      <c r="CB12" s="3356"/>
      <c r="CC12" s="3356"/>
      <c r="CD12" s="3356"/>
      <c r="CE12" s="3356"/>
      <c r="CF12" s="3356"/>
      <c r="CG12" s="3356"/>
      <c r="CH12" s="3356"/>
      <c r="CI12" s="3356"/>
      <c r="CJ12" s="3356"/>
      <c r="CK12" s="3356"/>
      <c r="CL12" s="3356"/>
      <c r="CM12" s="3356"/>
      <c r="CN12" s="3356"/>
      <c r="CO12" s="3356"/>
      <c r="CP12" s="3356"/>
      <c r="CQ12" s="3356"/>
      <c r="CR12" s="3356"/>
      <c r="CS12" s="3356"/>
      <c r="CT12" s="3356"/>
      <c r="CU12" s="3356"/>
      <c r="CV12" s="3356"/>
      <c r="CW12" s="3356"/>
      <c r="CX12" s="3356"/>
      <c r="CY12" s="3356"/>
      <c r="CZ12" s="3356"/>
      <c r="DA12" s="3356"/>
      <c r="DB12" s="3356"/>
      <c r="DC12" s="3356"/>
      <c r="DD12" s="3356"/>
      <c r="DE12" s="3356"/>
      <c r="DF12" s="3356"/>
      <c r="DG12" s="3356"/>
      <c r="DH12" s="3356"/>
      <c r="DI12" s="3356"/>
      <c r="DJ12" s="3356"/>
      <c r="DK12" s="3356"/>
      <c r="DL12" s="3356"/>
      <c r="DM12" s="3356"/>
      <c r="DN12" s="3356"/>
      <c r="DO12" s="3356"/>
      <c r="DP12" s="3356"/>
      <c r="DQ12" s="3356"/>
      <c r="DR12" s="3356"/>
      <c r="DS12" s="3356"/>
      <c r="DT12" s="3356"/>
      <c r="DU12" s="3356"/>
      <c r="DV12" s="3356"/>
      <c r="DW12" s="3356"/>
      <c r="DX12" s="3356"/>
      <c r="DY12" s="3356"/>
      <c r="DZ12" s="3356"/>
      <c r="EA12" s="3356"/>
      <c r="EB12" s="3356"/>
      <c r="EC12" s="3356"/>
      <c r="ED12" s="3356"/>
      <c r="EE12" s="3356"/>
      <c r="EF12" s="3356"/>
      <c r="EG12" s="3356"/>
      <c r="EH12" s="3356"/>
      <c r="EI12" s="3356"/>
      <c r="EJ12" s="3356"/>
      <c r="EK12" s="3356"/>
      <c r="EL12" s="3356"/>
      <c r="EM12" s="3356"/>
      <c r="EN12" s="3356"/>
      <c r="EO12" s="3356"/>
      <c r="EP12" s="3356"/>
      <c r="EQ12" s="3356"/>
      <c r="ER12" s="3356"/>
      <c r="ES12" s="3356"/>
      <c r="ET12" s="3356"/>
      <c r="EU12" s="3356"/>
      <c r="EV12" s="3356"/>
      <c r="EW12" s="3356"/>
      <c r="EX12" s="3356"/>
      <c r="EY12" s="3356"/>
      <c r="EZ12" s="3356"/>
      <c r="FA12" s="3356"/>
      <c r="FB12" s="3356"/>
      <c r="FC12" s="3356"/>
      <c r="FD12" s="3356"/>
      <c r="FE12" s="3356"/>
      <c r="FF12" s="3356"/>
      <c r="FG12" s="3356"/>
      <c r="FH12" s="3356"/>
      <c r="FI12" s="3356"/>
      <c r="FJ12" s="3356"/>
      <c r="FK12" s="3356"/>
      <c r="FL12" s="3356"/>
      <c r="FM12" s="3356"/>
      <c r="FN12" s="3356"/>
      <c r="FO12" s="3356"/>
      <c r="FP12" s="3356"/>
      <c r="FQ12" s="3356"/>
      <c r="FR12" s="3356"/>
      <c r="FS12" s="3356"/>
      <c r="FT12" s="3356"/>
      <c r="FU12" s="3356"/>
      <c r="FV12" s="3356"/>
      <c r="FW12" s="3356"/>
      <c r="FX12" s="3356"/>
      <c r="FY12" s="3356"/>
      <c r="FZ12" s="3356"/>
      <c r="GA12" s="3356"/>
      <c r="GB12" s="3356"/>
      <c r="GC12" s="3356"/>
      <c r="GD12" s="3356"/>
      <c r="GE12" s="3356"/>
      <c r="GF12" s="3356"/>
      <c r="GG12" s="3356"/>
      <c r="GH12" s="3356"/>
      <c r="GI12" s="3356"/>
      <c r="GJ12" s="3356"/>
      <c r="GK12" s="3356"/>
      <c r="GL12" s="3356"/>
      <c r="GM12" s="3356"/>
      <c r="GN12" s="3356"/>
      <c r="GO12" s="3356"/>
      <c r="GP12" s="3356"/>
      <c r="GQ12" s="3356"/>
      <c r="GR12" s="3356"/>
      <c r="GS12" s="3356"/>
      <c r="GT12" s="3356"/>
      <c r="GU12" s="3356"/>
      <c r="GV12" s="3356"/>
      <c r="GW12" s="3356"/>
      <c r="GX12" s="3356"/>
      <c r="GY12" s="3356"/>
      <c r="GZ12" s="3356"/>
      <c r="HA12" s="3356"/>
      <c r="HB12" s="3356"/>
      <c r="HC12" s="3356"/>
      <c r="HD12" s="3356"/>
      <c r="HE12" s="3356"/>
      <c r="HF12" s="3356"/>
      <c r="HG12" s="3356"/>
      <c r="HH12" s="3356"/>
      <c r="HI12" s="3356"/>
      <c r="HJ12" s="3356"/>
      <c r="HK12" s="3356"/>
      <c r="HL12" s="3356"/>
      <c r="HM12" s="3356"/>
      <c r="HN12" s="3356"/>
      <c r="HO12" s="3356"/>
      <c r="HP12" s="3356"/>
      <c r="HQ12" s="3356"/>
      <c r="HR12" s="3356"/>
      <c r="HS12" s="3356"/>
      <c r="HT12" s="3356"/>
      <c r="HU12" s="3356"/>
      <c r="HV12" s="3356"/>
      <c r="HW12" s="3356"/>
      <c r="HX12" s="3356"/>
      <c r="HY12" s="3356"/>
      <c r="HZ12" s="3356"/>
      <c r="IA12" s="3356"/>
      <c r="IB12" s="3356"/>
      <c r="IC12" s="3356"/>
      <c r="ID12" s="3356"/>
      <c r="IE12" s="3356"/>
      <c r="IF12" s="3356"/>
      <c r="IG12" s="3356"/>
      <c r="IH12" s="3356"/>
      <c r="II12" s="3356"/>
      <c r="IJ12" s="3356"/>
      <c r="IK12" s="3356"/>
      <c r="IL12" s="3356"/>
      <c r="IM12" s="3356"/>
      <c r="IN12" s="3356"/>
      <c r="IO12" s="3356"/>
      <c r="IP12" s="3356"/>
      <c r="IQ12" s="3356"/>
      <c r="IR12" s="3356"/>
      <c r="IS12" s="3356"/>
      <c r="IT12" s="3356"/>
      <c r="IU12" s="3356"/>
    </row>
    <row r="13" spans="1:255">
      <c r="A13" s="3345" t="s">
        <v>3615</v>
      </c>
      <c r="B13" s="3337" t="s">
        <v>3610</v>
      </c>
      <c r="C13" s="3354" t="s">
        <v>3614</v>
      </c>
      <c r="D13" s="3354" t="s">
        <v>3613</v>
      </c>
      <c r="E13" s="3337" t="s">
        <v>3135</v>
      </c>
      <c r="F13" s="3355" t="s">
        <v>3134</v>
      </c>
      <c r="G13" s="3337"/>
      <c r="H13" s="3337" t="s">
        <v>3612</v>
      </c>
      <c r="I13" s="3337" t="s">
        <v>3152</v>
      </c>
      <c r="J13" s="3354" t="s">
        <v>3611</v>
      </c>
      <c r="K13" s="3337" t="s">
        <v>3610</v>
      </c>
      <c r="L13" s="3337">
        <v>58.17</v>
      </c>
      <c r="M13" s="3337">
        <v>4</v>
      </c>
      <c r="N13" s="3337" t="s">
        <v>3149</v>
      </c>
      <c r="O13" s="3337"/>
      <c r="P13" s="3337" t="s">
        <v>2972</v>
      </c>
      <c r="Q13" s="3353">
        <v>470000</v>
      </c>
      <c r="R13" s="3352">
        <v>8080</v>
      </c>
      <c r="S13" s="3351">
        <v>42.75</v>
      </c>
      <c r="T13" s="3350">
        <v>427500</v>
      </c>
      <c r="U13" s="3337">
        <v>7350</v>
      </c>
      <c r="V13" s="3349">
        <v>0.2</v>
      </c>
      <c r="W13" s="3348">
        <v>34.200000000000003</v>
      </c>
      <c r="X13" s="3347">
        <v>342000</v>
      </c>
      <c r="Y13" s="3336">
        <v>2008</v>
      </c>
      <c r="Z13" s="3336">
        <v>9</v>
      </c>
      <c r="AA13" s="3337">
        <v>25</v>
      </c>
      <c r="AB13" s="3337">
        <v>1280</v>
      </c>
      <c r="AC13" s="3363" t="s">
        <v>3140</v>
      </c>
      <c r="AD13" s="3362">
        <v>91162008090148</v>
      </c>
      <c r="AE13" s="3337" t="s">
        <v>3147</v>
      </c>
      <c r="AF13" s="3337" t="s">
        <v>2975</v>
      </c>
      <c r="AG13" s="3337" t="s">
        <v>2976</v>
      </c>
      <c r="AH13" s="3337"/>
      <c r="AI13" s="3337" t="s">
        <v>3128</v>
      </c>
      <c r="AJ13" s="3358"/>
      <c r="AK13" s="3343" t="s">
        <v>3289</v>
      </c>
      <c r="AL13" s="3337">
        <v>32</v>
      </c>
      <c r="AM13" s="3337" t="s">
        <v>3609</v>
      </c>
      <c r="AN13" s="3357" t="s">
        <v>3108</v>
      </c>
      <c r="AO13" s="3337"/>
      <c r="AP13" s="3337" t="s">
        <v>3601</v>
      </c>
      <c r="AQ13" s="3361" t="s">
        <v>3125</v>
      </c>
      <c r="AR13" s="3337"/>
      <c r="AS13" s="3337"/>
      <c r="AT13" s="3337"/>
      <c r="AU13" s="3337"/>
      <c r="AV13" s="3337"/>
      <c r="AW13" s="3337" t="s">
        <v>3006</v>
      </c>
      <c r="AX13" s="3337"/>
      <c r="AY13" s="3336"/>
      <c r="AZ13" s="3354" t="s">
        <v>3608</v>
      </c>
      <c r="BA13" s="3337"/>
      <c r="BB13" s="3354"/>
      <c r="BC13" s="3337"/>
      <c r="BD13" s="3360"/>
      <c r="BE13" s="3337"/>
      <c r="BF13" s="3359"/>
      <c r="BG13" s="3358">
        <v>39707</v>
      </c>
      <c r="BH13" s="3337"/>
      <c r="BI13" s="3336" t="s">
        <v>3147</v>
      </c>
      <c r="BJ13" s="3338">
        <v>39715</v>
      </c>
      <c r="BK13" s="3358"/>
      <c r="BL13" s="3336" t="s">
        <v>3007</v>
      </c>
      <c r="BM13" s="3336"/>
      <c r="BN13" s="3336"/>
      <c r="BO13" s="3337"/>
      <c r="BP13" s="3337"/>
      <c r="BQ13" s="3336" t="e">
        <v>#DIV/0!</v>
      </c>
      <c r="BR13" s="3336" t="e">
        <v>#DIV/0!</v>
      </c>
      <c r="BS13" s="3335" t="s">
        <v>3147</v>
      </c>
      <c r="BT13" s="3335" t="s">
        <v>3140</v>
      </c>
      <c r="BU13" s="3356"/>
      <c r="BV13" s="3356"/>
      <c r="BW13" s="3356"/>
      <c r="BX13" s="3356"/>
      <c r="BY13" s="3356"/>
      <c r="BZ13" s="3356"/>
      <c r="CA13" s="3356"/>
      <c r="CB13" s="3356"/>
      <c r="CC13" s="3356"/>
      <c r="CD13" s="3356"/>
      <c r="CE13" s="3356"/>
      <c r="CF13" s="3356"/>
      <c r="CG13" s="3356"/>
      <c r="CH13" s="3356"/>
      <c r="CI13" s="3356"/>
      <c r="CJ13" s="3356"/>
      <c r="CK13" s="3356"/>
      <c r="CL13" s="3356"/>
      <c r="CM13" s="3356"/>
      <c r="CN13" s="3356"/>
      <c r="CO13" s="3356"/>
      <c r="CP13" s="3356"/>
      <c r="CQ13" s="3356"/>
      <c r="CR13" s="3356"/>
      <c r="CS13" s="3356"/>
      <c r="CT13" s="3356"/>
      <c r="CU13" s="3356"/>
      <c r="CV13" s="3356"/>
      <c r="CW13" s="3356"/>
      <c r="CX13" s="3356"/>
      <c r="CY13" s="3356"/>
      <c r="CZ13" s="3356"/>
      <c r="DA13" s="3356"/>
      <c r="DB13" s="3356"/>
      <c r="DC13" s="3356"/>
      <c r="DD13" s="3356"/>
      <c r="DE13" s="3356"/>
      <c r="DF13" s="3356"/>
      <c r="DG13" s="3356"/>
      <c r="DH13" s="3356"/>
      <c r="DI13" s="3356"/>
      <c r="DJ13" s="3356"/>
      <c r="DK13" s="3356"/>
      <c r="DL13" s="3356"/>
      <c r="DM13" s="3356"/>
      <c r="DN13" s="3356"/>
      <c r="DO13" s="3356"/>
      <c r="DP13" s="3356"/>
      <c r="DQ13" s="3356"/>
      <c r="DR13" s="3356"/>
      <c r="DS13" s="3356"/>
      <c r="DT13" s="3356"/>
      <c r="DU13" s="3356"/>
      <c r="DV13" s="3356"/>
      <c r="DW13" s="3356"/>
      <c r="DX13" s="3356"/>
      <c r="DY13" s="3356"/>
      <c r="DZ13" s="3356"/>
      <c r="EA13" s="3356"/>
      <c r="EB13" s="3356"/>
      <c r="EC13" s="3356"/>
      <c r="ED13" s="3356"/>
      <c r="EE13" s="3356"/>
      <c r="EF13" s="3356"/>
      <c r="EG13" s="3356"/>
      <c r="EH13" s="3356"/>
      <c r="EI13" s="3356"/>
      <c r="EJ13" s="3356"/>
      <c r="EK13" s="3356"/>
      <c r="EL13" s="3356"/>
      <c r="EM13" s="3356"/>
      <c r="EN13" s="3356"/>
      <c r="EO13" s="3356"/>
      <c r="EP13" s="3356"/>
      <c r="EQ13" s="3356"/>
      <c r="ER13" s="3356"/>
      <c r="ES13" s="3356"/>
      <c r="ET13" s="3356"/>
      <c r="EU13" s="3356"/>
      <c r="EV13" s="3356"/>
      <c r="EW13" s="3356"/>
      <c r="EX13" s="3356"/>
      <c r="EY13" s="3356"/>
      <c r="EZ13" s="3356"/>
      <c r="FA13" s="3356"/>
      <c r="FB13" s="3356"/>
      <c r="FC13" s="3356"/>
      <c r="FD13" s="3356"/>
      <c r="FE13" s="3356"/>
      <c r="FF13" s="3356"/>
      <c r="FG13" s="3356"/>
      <c r="FH13" s="3356"/>
      <c r="FI13" s="3356"/>
      <c r="FJ13" s="3356"/>
      <c r="FK13" s="3356"/>
      <c r="FL13" s="3356"/>
      <c r="FM13" s="3356"/>
      <c r="FN13" s="3356"/>
      <c r="FO13" s="3356"/>
      <c r="FP13" s="3356"/>
      <c r="FQ13" s="3356"/>
      <c r="FR13" s="3356"/>
      <c r="FS13" s="3356"/>
      <c r="FT13" s="3356"/>
      <c r="FU13" s="3356"/>
      <c r="FV13" s="3356"/>
      <c r="FW13" s="3356"/>
      <c r="FX13" s="3356"/>
      <c r="FY13" s="3356"/>
      <c r="FZ13" s="3356"/>
      <c r="GA13" s="3356"/>
      <c r="GB13" s="3356"/>
      <c r="GC13" s="3356"/>
      <c r="GD13" s="3356"/>
      <c r="GE13" s="3356"/>
      <c r="GF13" s="3356"/>
      <c r="GG13" s="3356"/>
      <c r="GH13" s="3356"/>
      <c r="GI13" s="3356"/>
      <c r="GJ13" s="3356"/>
      <c r="GK13" s="3356"/>
      <c r="GL13" s="3356"/>
      <c r="GM13" s="3356"/>
      <c r="GN13" s="3356"/>
      <c r="GO13" s="3356"/>
      <c r="GP13" s="3356"/>
      <c r="GQ13" s="3356"/>
      <c r="GR13" s="3356"/>
      <c r="GS13" s="3356"/>
      <c r="GT13" s="3356"/>
      <c r="GU13" s="3356"/>
      <c r="GV13" s="3356"/>
      <c r="GW13" s="3356"/>
      <c r="GX13" s="3356"/>
      <c r="GY13" s="3356"/>
      <c r="GZ13" s="3356"/>
      <c r="HA13" s="3356"/>
      <c r="HB13" s="3356"/>
      <c r="HC13" s="3356"/>
      <c r="HD13" s="3356"/>
      <c r="HE13" s="3356"/>
      <c r="HF13" s="3356"/>
      <c r="HG13" s="3356"/>
      <c r="HH13" s="3356"/>
      <c r="HI13" s="3356"/>
      <c r="HJ13" s="3356"/>
      <c r="HK13" s="3356"/>
      <c r="HL13" s="3356"/>
      <c r="HM13" s="3356"/>
      <c r="HN13" s="3356"/>
      <c r="HO13" s="3356"/>
      <c r="HP13" s="3356"/>
      <c r="HQ13" s="3356"/>
      <c r="HR13" s="3356"/>
      <c r="HS13" s="3356"/>
      <c r="HT13" s="3356"/>
      <c r="HU13" s="3356"/>
      <c r="HV13" s="3356"/>
      <c r="HW13" s="3356"/>
      <c r="HX13" s="3356"/>
      <c r="HY13" s="3356"/>
      <c r="HZ13" s="3356"/>
      <c r="IA13" s="3356"/>
      <c r="IB13" s="3356"/>
      <c r="IC13" s="3356"/>
      <c r="ID13" s="3356"/>
      <c r="IE13" s="3356"/>
      <c r="IF13" s="3356"/>
      <c r="IG13" s="3356"/>
      <c r="IH13" s="3356"/>
      <c r="II13" s="3356"/>
      <c r="IJ13" s="3356"/>
      <c r="IK13" s="3356"/>
      <c r="IL13" s="3356"/>
      <c r="IM13" s="3356"/>
      <c r="IN13" s="3356"/>
      <c r="IO13" s="3356"/>
      <c r="IP13" s="3356"/>
      <c r="IQ13" s="3356"/>
      <c r="IR13" s="3356"/>
      <c r="IS13" s="3356"/>
      <c r="IT13" s="3356"/>
      <c r="IU13" s="3356"/>
    </row>
    <row r="14" spans="1:255">
      <c r="A14" s="3345" t="s">
        <v>3607</v>
      </c>
      <c r="B14" s="3337" t="s">
        <v>3603</v>
      </c>
      <c r="C14" s="3354" t="s">
        <v>3606</v>
      </c>
      <c r="D14" s="3354" t="s">
        <v>3605</v>
      </c>
      <c r="E14" s="3337" t="s">
        <v>3135</v>
      </c>
      <c r="F14" s="3355" t="s">
        <v>3134</v>
      </c>
      <c r="G14" s="3337"/>
      <c r="H14" s="3337" t="s">
        <v>3604</v>
      </c>
      <c r="I14" s="3337" t="s">
        <v>3209</v>
      </c>
      <c r="J14" s="3354" t="s">
        <v>3418</v>
      </c>
      <c r="K14" s="3337" t="s">
        <v>3603</v>
      </c>
      <c r="L14" s="3337">
        <v>60.94</v>
      </c>
      <c r="M14" s="3337">
        <v>3</v>
      </c>
      <c r="N14" s="3337" t="s">
        <v>3149</v>
      </c>
      <c r="O14" s="3337"/>
      <c r="P14" s="3337" t="s">
        <v>2972</v>
      </c>
      <c r="Q14" s="3353">
        <v>370000</v>
      </c>
      <c r="R14" s="3352">
        <v>6072</v>
      </c>
      <c r="S14" s="3351">
        <v>42.68</v>
      </c>
      <c r="T14" s="3350">
        <v>426800</v>
      </c>
      <c r="U14" s="3337">
        <v>7005</v>
      </c>
      <c r="V14" s="3349">
        <v>0.2</v>
      </c>
      <c r="W14" s="3348">
        <v>34.14</v>
      </c>
      <c r="X14" s="3347">
        <v>341400</v>
      </c>
      <c r="Y14" s="3336">
        <v>2008</v>
      </c>
      <c r="Z14" s="3336">
        <v>9</v>
      </c>
      <c r="AA14" s="3337">
        <v>27</v>
      </c>
      <c r="AB14" s="3337">
        <v>1280</v>
      </c>
      <c r="AC14" s="3363" t="s">
        <v>3140</v>
      </c>
      <c r="AD14" s="3362">
        <v>91162008090166</v>
      </c>
      <c r="AE14" s="3337" t="s">
        <v>3147</v>
      </c>
      <c r="AF14" s="3337" t="s">
        <v>2975</v>
      </c>
      <c r="AG14" s="3337" t="s">
        <v>2976</v>
      </c>
      <c r="AH14" s="3337"/>
      <c r="AI14" s="3337" t="s">
        <v>3128</v>
      </c>
      <c r="AJ14" s="3358"/>
      <c r="AK14" s="3343" t="s">
        <v>3289</v>
      </c>
      <c r="AL14" s="3337">
        <v>31</v>
      </c>
      <c r="AM14" s="3337" t="s">
        <v>3602</v>
      </c>
      <c r="AN14" s="3357" t="s">
        <v>3108</v>
      </c>
      <c r="AO14" s="3337"/>
      <c r="AP14" s="3337" t="s">
        <v>3601</v>
      </c>
      <c r="AQ14" s="3361" t="s">
        <v>3125</v>
      </c>
      <c r="AR14" s="3337"/>
      <c r="AS14" s="3337"/>
      <c r="AT14" s="3337"/>
      <c r="AU14" s="3337"/>
      <c r="AV14" s="3337"/>
      <c r="AW14" s="3337" t="s">
        <v>3006</v>
      </c>
      <c r="AX14" s="3337"/>
      <c r="AY14" s="3336"/>
      <c r="AZ14" s="3354" t="s">
        <v>3600</v>
      </c>
      <c r="BA14" s="3337"/>
      <c r="BB14" s="3354"/>
      <c r="BC14" s="3337"/>
      <c r="BD14" s="3360"/>
      <c r="BE14" s="3337"/>
      <c r="BF14" s="3359"/>
      <c r="BG14" s="3358">
        <v>39714</v>
      </c>
      <c r="BH14" s="3337"/>
      <c r="BI14" s="3336" t="s">
        <v>3147</v>
      </c>
      <c r="BJ14" s="3338">
        <v>39717</v>
      </c>
      <c r="BK14" s="3358"/>
      <c r="BL14" s="3336" t="s">
        <v>3007</v>
      </c>
      <c r="BM14" s="3336"/>
      <c r="BN14" s="3336"/>
      <c r="BO14" s="3337"/>
      <c r="BP14" s="3337"/>
      <c r="BQ14" s="3336" t="e">
        <v>#DIV/0!</v>
      </c>
      <c r="BR14" s="3336" t="e">
        <v>#DIV/0!</v>
      </c>
      <c r="BS14" s="3335" t="s">
        <v>3147</v>
      </c>
      <c r="BT14" s="3335" t="s">
        <v>3140</v>
      </c>
      <c r="BU14" s="3356"/>
    </row>
    <row r="15" spans="1:255">
      <c r="A15" s="3337" t="s">
        <v>3599</v>
      </c>
      <c r="B15" s="3337" t="s">
        <v>3595</v>
      </c>
      <c r="C15" s="3354" t="s">
        <v>3598</v>
      </c>
      <c r="D15" s="3354" t="s">
        <v>3597</v>
      </c>
      <c r="E15" s="3337" t="s">
        <v>3135</v>
      </c>
      <c r="F15" s="3355" t="s">
        <v>3134</v>
      </c>
      <c r="G15" s="3337"/>
      <c r="H15" s="3337" t="s">
        <v>3106</v>
      </c>
      <c r="I15" s="3337" t="s">
        <v>3254</v>
      </c>
      <c r="J15" s="3354" t="s">
        <v>3596</v>
      </c>
      <c r="K15" s="3337" t="s">
        <v>3595</v>
      </c>
      <c r="L15" s="3337">
        <v>41.99</v>
      </c>
      <c r="M15" s="3337">
        <v>5</v>
      </c>
      <c r="N15" s="3337" t="s">
        <v>3280</v>
      </c>
      <c r="O15" s="3337"/>
      <c r="P15" s="3337" t="s">
        <v>2972</v>
      </c>
      <c r="Q15" s="3353">
        <v>328000</v>
      </c>
      <c r="R15" s="3352">
        <v>7811</v>
      </c>
      <c r="S15" s="3351">
        <v>30.02</v>
      </c>
      <c r="T15" s="3350">
        <v>300200</v>
      </c>
      <c r="U15" s="3337">
        <v>7150</v>
      </c>
      <c r="V15" s="3349">
        <v>0.2</v>
      </c>
      <c r="W15" s="3348">
        <v>24.01</v>
      </c>
      <c r="X15" s="3347">
        <v>240100.00000000003</v>
      </c>
      <c r="Y15" s="3336">
        <v>2008</v>
      </c>
      <c r="Z15" s="3336">
        <v>11</v>
      </c>
      <c r="AA15" s="3336">
        <v>14</v>
      </c>
      <c r="AB15" s="3337">
        <v>900</v>
      </c>
      <c r="AC15" s="3337" t="s">
        <v>3140</v>
      </c>
      <c r="AD15" s="3345">
        <v>91162008110053</v>
      </c>
      <c r="AE15" s="3336" t="s">
        <v>3509</v>
      </c>
      <c r="AF15" s="3337" t="s">
        <v>2975</v>
      </c>
      <c r="AG15" s="3337" t="s">
        <v>2976</v>
      </c>
      <c r="AH15" s="3345"/>
      <c r="AI15" s="3337" t="s">
        <v>3128</v>
      </c>
      <c r="AJ15" s="3344"/>
      <c r="AK15" s="3343" t="s">
        <v>3218</v>
      </c>
      <c r="AL15" s="3336">
        <v>33</v>
      </c>
      <c r="AM15" s="3336" t="s">
        <v>3594</v>
      </c>
      <c r="AN15" s="3336" t="s">
        <v>3234</v>
      </c>
      <c r="AO15" s="3336"/>
      <c r="AP15" s="3336" t="s">
        <v>3258</v>
      </c>
      <c r="AQ15" s="3357" t="s">
        <v>3125</v>
      </c>
      <c r="AR15" s="3336"/>
      <c r="AS15" s="3336"/>
      <c r="AT15" s="3336"/>
      <c r="AU15" s="3336"/>
      <c r="AV15" s="3336"/>
      <c r="AW15" s="3336" t="s">
        <v>3144</v>
      </c>
      <c r="AX15" s="3336"/>
      <c r="AY15" s="3342"/>
      <c r="AZ15" s="3336" t="s">
        <v>3593</v>
      </c>
      <c r="BA15" s="3336"/>
      <c r="BB15" s="3342"/>
      <c r="BC15" s="3336"/>
      <c r="BD15" s="3341"/>
      <c r="BE15" s="3336">
        <v>13910765806</v>
      </c>
      <c r="BF15" s="3340"/>
      <c r="BG15" s="3339">
        <v>39729</v>
      </c>
      <c r="BH15" s="3336"/>
      <c r="BI15" s="3336" t="s">
        <v>3258</v>
      </c>
      <c r="BJ15" s="3338">
        <v>39764</v>
      </c>
      <c r="BK15" s="3338"/>
      <c r="BL15" s="3336" t="s">
        <v>3007</v>
      </c>
      <c r="BM15" s="3336" t="s">
        <v>2881</v>
      </c>
      <c r="BN15" s="3336" t="s">
        <v>3122</v>
      </c>
      <c r="BO15" s="3336" t="s">
        <v>3009</v>
      </c>
      <c r="BP15" s="3336"/>
      <c r="BQ15" s="3336" t="e">
        <v>#DIV/0!</v>
      </c>
      <c r="BR15" s="3336" t="e">
        <v>#DIV/0!</v>
      </c>
      <c r="BS15" s="3335" t="s">
        <v>3258</v>
      </c>
      <c r="BT15" s="3335" t="s">
        <v>3140</v>
      </c>
      <c r="BU15" s="3334"/>
    </row>
    <row r="16" spans="1:255">
      <c r="A16" s="3345" t="s">
        <v>3592</v>
      </c>
      <c r="B16" s="3337" t="s">
        <v>3591</v>
      </c>
      <c r="C16" s="3354" t="s">
        <v>3590</v>
      </c>
      <c r="D16" s="3354" t="s">
        <v>3589</v>
      </c>
      <c r="E16" s="3337" t="s">
        <v>3135</v>
      </c>
      <c r="F16" s="3355" t="s">
        <v>3211</v>
      </c>
      <c r="G16" s="3337"/>
      <c r="H16" s="3337" t="s">
        <v>3588</v>
      </c>
      <c r="I16" s="3337" t="s">
        <v>3186</v>
      </c>
      <c r="J16" s="3354" t="s">
        <v>3587</v>
      </c>
      <c r="K16" s="3337" t="s">
        <v>3586</v>
      </c>
      <c r="L16" s="3337">
        <v>131.5</v>
      </c>
      <c r="M16" s="3337">
        <v>5</v>
      </c>
      <c r="N16" s="3337" t="s">
        <v>3173</v>
      </c>
      <c r="O16" s="3337"/>
      <c r="P16" s="3337" t="s">
        <v>2972</v>
      </c>
      <c r="Q16" s="3353">
        <v>815300</v>
      </c>
      <c r="R16" s="3352">
        <v>6200</v>
      </c>
      <c r="S16" s="3351">
        <v>90.07</v>
      </c>
      <c r="T16" s="3350">
        <v>900699.99999999988</v>
      </c>
      <c r="U16" s="3337">
        <v>6850</v>
      </c>
      <c r="V16" s="3349">
        <v>0.2</v>
      </c>
      <c r="W16" s="3348">
        <v>72.05</v>
      </c>
      <c r="X16" s="3347">
        <v>720500</v>
      </c>
      <c r="Y16" s="3336">
        <v>2008</v>
      </c>
      <c r="Z16" s="3336">
        <v>12</v>
      </c>
      <c r="AA16" s="3336">
        <v>9</v>
      </c>
      <c r="AB16" s="3337">
        <v>1500</v>
      </c>
      <c r="AC16" s="3337" t="s">
        <v>3140</v>
      </c>
      <c r="AD16" s="3345">
        <v>91162008110141</v>
      </c>
      <c r="AE16" s="3337" t="s">
        <v>3147</v>
      </c>
      <c r="AF16" s="3337" t="s">
        <v>2975</v>
      </c>
      <c r="AG16" s="3337" t="s">
        <v>2976</v>
      </c>
      <c r="AH16" s="3345"/>
      <c r="AI16" s="3337" t="s">
        <v>3128</v>
      </c>
      <c r="AJ16" s="3344"/>
      <c r="AK16" s="3343" t="s">
        <v>3146</v>
      </c>
      <c r="AL16" s="3336">
        <v>43</v>
      </c>
      <c r="AM16" s="3336" t="s">
        <v>3585</v>
      </c>
      <c r="AN16" s="3336" t="s">
        <v>3234</v>
      </c>
      <c r="AO16" s="3336"/>
      <c r="AP16" s="3336" t="s">
        <v>3258</v>
      </c>
      <c r="AQ16" s="3336" t="s">
        <v>3125</v>
      </c>
      <c r="AR16" s="3336"/>
      <c r="AS16" s="3336"/>
      <c r="AT16" s="3336"/>
      <c r="AU16" s="3336"/>
      <c r="AV16" s="3336"/>
      <c r="AW16" s="3336" t="s">
        <v>3144</v>
      </c>
      <c r="AX16" s="3336"/>
      <c r="AY16" s="3342"/>
      <c r="AZ16" s="3336" t="s">
        <v>3584</v>
      </c>
      <c r="BA16" s="3336"/>
      <c r="BB16" s="3342"/>
      <c r="BC16" s="3336"/>
      <c r="BD16" s="3341"/>
      <c r="BE16" s="3336">
        <v>13011099881</v>
      </c>
      <c r="BF16" s="3340"/>
      <c r="BG16" s="3339">
        <v>39731</v>
      </c>
      <c r="BH16" s="3336"/>
      <c r="BI16" s="3336" t="s">
        <v>3258</v>
      </c>
      <c r="BJ16" s="3338">
        <v>39777</v>
      </c>
      <c r="BK16" s="3338"/>
      <c r="BL16" s="3337" t="s">
        <v>3007</v>
      </c>
      <c r="BM16" s="3336" t="s">
        <v>3170</v>
      </c>
      <c r="BN16" s="3336" t="s">
        <v>3008</v>
      </c>
      <c r="BO16" s="3336" t="s">
        <v>3009</v>
      </c>
      <c r="BP16" s="3336"/>
      <c r="BQ16" s="3336" t="e">
        <v>#DIV/0!</v>
      </c>
      <c r="BR16" s="3336" t="e">
        <v>#DIV/0!</v>
      </c>
      <c r="BS16" s="3335" t="s">
        <v>3258</v>
      </c>
      <c r="BT16" s="3335" t="s">
        <v>3140</v>
      </c>
      <c r="BU16" s="3356"/>
    </row>
    <row r="17" spans="1:73">
      <c r="A17" s="3337" t="s">
        <v>3583</v>
      </c>
      <c r="B17" s="3337" t="s">
        <v>3577</v>
      </c>
      <c r="C17" s="3354" t="s">
        <v>3582</v>
      </c>
      <c r="D17" s="3354" t="s">
        <v>3581</v>
      </c>
      <c r="E17" s="3355" t="s">
        <v>3135</v>
      </c>
      <c r="F17" s="3355" t="s">
        <v>3154</v>
      </c>
      <c r="G17" s="3337"/>
      <c r="H17" s="3337" t="s">
        <v>3580</v>
      </c>
      <c r="I17" s="3337" t="s">
        <v>3579</v>
      </c>
      <c r="J17" s="3354" t="s">
        <v>3578</v>
      </c>
      <c r="K17" s="3337" t="s">
        <v>3577</v>
      </c>
      <c r="L17" s="3337">
        <v>62.88</v>
      </c>
      <c r="M17" s="3337">
        <v>6</v>
      </c>
      <c r="N17" s="3337" t="s">
        <v>3149</v>
      </c>
      <c r="O17" s="3337"/>
      <c r="P17" s="3337" t="s">
        <v>2972</v>
      </c>
      <c r="Q17" s="3353">
        <v>368000</v>
      </c>
      <c r="R17" s="3352">
        <v>5852</v>
      </c>
      <c r="S17" s="3351">
        <v>35.520000000000003</v>
      </c>
      <c r="T17" s="3350">
        <v>355200.00000000006</v>
      </c>
      <c r="U17" s="3337">
        <v>5650</v>
      </c>
      <c r="V17" s="3349">
        <v>0.2</v>
      </c>
      <c r="W17" s="3348">
        <v>28.41</v>
      </c>
      <c r="X17" s="3347">
        <v>284100</v>
      </c>
      <c r="Y17" s="3336">
        <v>2008</v>
      </c>
      <c r="Z17" s="3336">
        <v>12</v>
      </c>
      <c r="AA17" s="3336">
        <v>26</v>
      </c>
      <c r="AB17" s="3337">
        <v>1065</v>
      </c>
      <c r="AC17" s="3337" t="s">
        <v>3140</v>
      </c>
      <c r="AD17" s="3346" t="s">
        <v>3576</v>
      </c>
      <c r="AE17" s="3336" t="s">
        <v>3147</v>
      </c>
      <c r="AF17" s="3337" t="s">
        <v>2975</v>
      </c>
      <c r="AG17" s="3337" t="s">
        <v>2976</v>
      </c>
      <c r="AH17" s="3345"/>
      <c r="AI17" s="3337" t="s">
        <v>3128</v>
      </c>
      <c r="AJ17" s="3344"/>
      <c r="AK17" s="3343" t="s">
        <v>3146</v>
      </c>
      <c r="AL17" s="3336">
        <v>33</v>
      </c>
      <c r="AM17" s="3336" t="s">
        <v>3575</v>
      </c>
      <c r="AN17" s="3337" t="s">
        <v>3003</v>
      </c>
      <c r="AO17" s="3336"/>
      <c r="AP17" s="3336" t="s">
        <v>3258</v>
      </c>
      <c r="AQ17" s="3337" t="s">
        <v>3125</v>
      </c>
      <c r="AR17" s="3336"/>
      <c r="AS17" s="3336"/>
      <c r="AT17" s="3336"/>
      <c r="AU17" s="3336"/>
      <c r="AV17" s="3336"/>
      <c r="AW17" s="3336" t="s">
        <v>3144</v>
      </c>
      <c r="AX17" s="3336"/>
      <c r="AY17" s="3342"/>
      <c r="AZ17" s="3336" t="s">
        <v>3574</v>
      </c>
      <c r="BA17" s="3336"/>
      <c r="BB17" s="3342"/>
      <c r="BC17" s="3336"/>
      <c r="BD17" s="3341"/>
      <c r="BE17" s="3336"/>
      <c r="BF17" s="3340"/>
      <c r="BG17" s="3339">
        <v>39727</v>
      </c>
      <c r="BH17" s="3336"/>
      <c r="BI17" s="3336" t="s">
        <v>3258</v>
      </c>
      <c r="BJ17" s="3338">
        <v>39806</v>
      </c>
      <c r="BK17" s="3338"/>
      <c r="BL17" s="3337" t="s">
        <v>3007</v>
      </c>
      <c r="BM17" s="3336" t="s">
        <v>2881</v>
      </c>
      <c r="BN17" s="3336" t="s">
        <v>3008</v>
      </c>
      <c r="BO17" s="3336" t="s">
        <v>3009</v>
      </c>
      <c r="BP17" s="3336"/>
      <c r="BQ17" s="3336" t="e">
        <v>#DIV/0!</v>
      </c>
      <c r="BR17" s="3336" t="e">
        <v>#DIV/0!</v>
      </c>
      <c r="BS17" s="3335" t="s">
        <v>3258</v>
      </c>
      <c r="BT17" s="3335" t="s">
        <v>3140</v>
      </c>
      <c r="BU17" s="3334"/>
    </row>
    <row r="18" spans="1:73">
      <c r="A18" s="3259" t="s">
        <v>3573</v>
      </c>
      <c r="B18" s="3259" t="s">
        <v>3568</v>
      </c>
      <c r="C18" s="3268" t="s">
        <v>3572</v>
      </c>
      <c r="D18" s="3268" t="s">
        <v>3571</v>
      </c>
      <c r="E18" s="3259" t="s">
        <v>3135</v>
      </c>
      <c r="F18" s="3275" t="s">
        <v>3188</v>
      </c>
      <c r="G18" s="3259"/>
      <c r="H18" s="3259" t="s">
        <v>3228</v>
      </c>
      <c r="I18" s="3259" t="s">
        <v>3570</v>
      </c>
      <c r="J18" s="3268" t="s">
        <v>3569</v>
      </c>
      <c r="K18" s="3259" t="s">
        <v>3568</v>
      </c>
      <c r="L18" s="3333">
        <v>55.09</v>
      </c>
      <c r="M18" s="3259">
        <v>5</v>
      </c>
      <c r="N18" s="3276" t="s">
        <v>3450</v>
      </c>
      <c r="O18" s="3259" t="s">
        <v>2977</v>
      </c>
      <c r="P18" s="3259" t="s">
        <v>2972</v>
      </c>
      <c r="Q18" s="3274">
        <v>209834</v>
      </c>
      <c r="R18" s="3273">
        <v>3809</v>
      </c>
      <c r="S18" s="3270">
        <v>24.79</v>
      </c>
      <c r="T18" s="3272">
        <v>247900</v>
      </c>
      <c r="U18" s="3259">
        <v>4500</v>
      </c>
      <c r="V18" s="3271">
        <v>0.2</v>
      </c>
      <c r="W18" s="3270">
        <v>19.829999999999998</v>
      </c>
      <c r="X18" s="3269">
        <v>198299.99999999997</v>
      </c>
      <c r="Y18" s="3258">
        <v>2009</v>
      </c>
      <c r="Z18" s="3258">
        <v>2</v>
      </c>
      <c r="AA18" s="3258">
        <v>10</v>
      </c>
      <c r="AB18" s="3259">
        <v>740</v>
      </c>
      <c r="AC18" s="3259" t="s">
        <v>3140</v>
      </c>
      <c r="AD18" s="3332">
        <v>91162008110110</v>
      </c>
      <c r="AE18" s="3258" t="s">
        <v>3147</v>
      </c>
      <c r="AF18" s="3259" t="s">
        <v>2975</v>
      </c>
      <c r="AG18" s="3265" t="s">
        <v>2976</v>
      </c>
      <c r="AH18" s="3259" t="s">
        <v>2977</v>
      </c>
      <c r="AI18" s="3259" t="s">
        <v>3128</v>
      </c>
      <c r="AJ18" s="3267"/>
      <c r="AK18" s="3266">
        <v>2</v>
      </c>
      <c r="AL18" s="3258">
        <v>28</v>
      </c>
      <c r="AM18" s="3259" t="s">
        <v>3567</v>
      </c>
      <c r="AN18" s="3258" t="s">
        <v>3234</v>
      </c>
      <c r="AO18" s="3258"/>
      <c r="AP18" s="3258" t="s">
        <v>3258</v>
      </c>
      <c r="AQ18" s="3265" t="s">
        <v>3125</v>
      </c>
      <c r="AR18" s="3258"/>
      <c r="AS18" s="3258"/>
      <c r="AT18" s="3258"/>
      <c r="AU18" s="3258"/>
      <c r="AV18" s="3258"/>
      <c r="AW18" s="3258" t="s">
        <v>3448</v>
      </c>
      <c r="AX18" s="3258"/>
      <c r="AY18" s="3264"/>
      <c r="AZ18" s="3259" t="s">
        <v>3566</v>
      </c>
      <c r="BA18" s="3258"/>
      <c r="BB18" s="3264"/>
      <c r="BC18" s="3258"/>
      <c r="BD18" s="3263"/>
      <c r="BE18" s="3258">
        <v>60712233</v>
      </c>
      <c r="BF18" s="3262"/>
      <c r="BG18" s="3261">
        <v>39731</v>
      </c>
      <c r="BH18" s="3258"/>
      <c r="BI18" s="3258" t="s">
        <v>3258</v>
      </c>
      <c r="BJ18" s="3260">
        <v>39773</v>
      </c>
      <c r="BK18" s="3260"/>
      <c r="BL18" s="3259" t="s">
        <v>3007</v>
      </c>
      <c r="BM18" s="3258" t="s">
        <v>3170</v>
      </c>
      <c r="BN18" s="3258" t="s">
        <v>3008</v>
      </c>
      <c r="BO18" s="3258" t="s">
        <v>3009</v>
      </c>
      <c r="BP18" s="3258"/>
      <c r="BQ18" s="3258" t="e">
        <v>#VALUE!</v>
      </c>
      <c r="BR18" s="3258" t="e">
        <v>#VALUE!</v>
      </c>
      <c r="BS18" s="3257" t="s">
        <v>3258</v>
      </c>
      <c r="BT18" s="3257" t="s">
        <v>3140</v>
      </c>
      <c r="BU18" s="3256"/>
    </row>
    <row r="19" spans="1:73">
      <c r="A19" s="3259" t="s">
        <v>3565</v>
      </c>
      <c r="B19" s="3259" t="s">
        <v>3560</v>
      </c>
      <c r="C19" s="3268" t="s">
        <v>3564</v>
      </c>
      <c r="D19" s="3268" t="s">
        <v>3563</v>
      </c>
      <c r="E19" s="3259" t="s">
        <v>3135</v>
      </c>
      <c r="F19" s="3275" t="s">
        <v>3188</v>
      </c>
      <c r="G19" s="3259"/>
      <c r="H19" s="3259" t="s">
        <v>3228</v>
      </c>
      <c r="I19" s="3259" t="s">
        <v>3562</v>
      </c>
      <c r="J19" s="3268" t="s">
        <v>3561</v>
      </c>
      <c r="K19" s="3259" t="s">
        <v>3560</v>
      </c>
      <c r="L19" s="3333">
        <v>55.09</v>
      </c>
      <c r="M19" s="3259">
        <v>4</v>
      </c>
      <c r="N19" s="3276" t="s">
        <v>3450</v>
      </c>
      <c r="O19" s="3259" t="s">
        <v>2977</v>
      </c>
      <c r="P19" s="3259" t="s">
        <v>2972</v>
      </c>
      <c r="Q19" s="3274">
        <v>209934</v>
      </c>
      <c r="R19" s="3273">
        <v>3811</v>
      </c>
      <c r="S19" s="3270">
        <v>24.79</v>
      </c>
      <c r="T19" s="3272">
        <v>247900</v>
      </c>
      <c r="U19" s="3259">
        <v>4500</v>
      </c>
      <c r="V19" s="3271">
        <v>0.2</v>
      </c>
      <c r="W19" s="3270">
        <v>19.829999999999998</v>
      </c>
      <c r="X19" s="3269">
        <v>198299.99999999997</v>
      </c>
      <c r="Y19" s="3258">
        <v>2009</v>
      </c>
      <c r="Z19" s="3258">
        <v>2</v>
      </c>
      <c r="AA19" s="3258">
        <v>10</v>
      </c>
      <c r="AB19" s="3259">
        <v>740</v>
      </c>
      <c r="AC19" s="3259" t="s">
        <v>3140</v>
      </c>
      <c r="AD19" s="3332">
        <v>91162008110106</v>
      </c>
      <c r="AE19" s="3258" t="s">
        <v>3147</v>
      </c>
      <c r="AF19" s="3259" t="s">
        <v>2975</v>
      </c>
      <c r="AG19" s="3265" t="s">
        <v>2976</v>
      </c>
      <c r="AH19" s="3259" t="s">
        <v>2977</v>
      </c>
      <c r="AI19" s="3259" t="s">
        <v>3128</v>
      </c>
      <c r="AJ19" s="3267"/>
      <c r="AK19" s="3266">
        <v>2</v>
      </c>
      <c r="AL19" s="3258">
        <v>28</v>
      </c>
      <c r="AM19" s="3259" t="s">
        <v>3559</v>
      </c>
      <c r="AN19" s="3258" t="s">
        <v>3234</v>
      </c>
      <c r="AO19" s="3258"/>
      <c r="AP19" s="3258" t="s">
        <v>3258</v>
      </c>
      <c r="AQ19" s="3265" t="s">
        <v>3125</v>
      </c>
      <c r="AR19" s="3258"/>
      <c r="AS19" s="3258"/>
      <c r="AT19" s="3258"/>
      <c r="AU19" s="3258"/>
      <c r="AV19" s="3258"/>
      <c r="AW19" s="3258" t="s">
        <v>3448</v>
      </c>
      <c r="AX19" s="3258"/>
      <c r="AY19" s="3264"/>
      <c r="AZ19" s="3259" t="s">
        <v>3558</v>
      </c>
      <c r="BA19" s="3258"/>
      <c r="BB19" s="3264"/>
      <c r="BC19" s="3258"/>
      <c r="BD19" s="3263"/>
      <c r="BE19" s="3258">
        <v>60712233</v>
      </c>
      <c r="BF19" s="3262"/>
      <c r="BG19" s="3261">
        <v>39731</v>
      </c>
      <c r="BH19" s="3258"/>
      <c r="BI19" s="3258" t="s">
        <v>3258</v>
      </c>
      <c r="BJ19" s="3260">
        <v>39773</v>
      </c>
      <c r="BK19" s="3260"/>
      <c r="BL19" s="3259" t="s">
        <v>3007</v>
      </c>
      <c r="BM19" s="3258" t="s">
        <v>3170</v>
      </c>
      <c r="BN19" s="3258" t="s">
        <v>3008</v>
      </c>
      <c r="BO19" s="3258" t="s">
        <v>3009</v>
      </c>
      <c r="BP19" s="3258"/>
      <c r="BQ19" s="3258" t="e">
        <v>#VALUE!</v>
      </c>
      <c r="BR19" s="3258" t="e">
        <v>#VALUE!</v>
      </c>
      <c r="BS19" s="3257" t="s">
        <v>3258</v>
      </c>
      <c r="BT19" s="3257" t="s">
        <v>3140</v>
      </c>
      <c r="BU19" s="3256"/>
    </row>
    <row r="20" spans="1:73">
      <c r="A20" s="3259" t="s">
        <v>3557</v>
      </c>
      <c r="B20" s="3259" t="s">
        <v>3553</v>
      </c>
      <c r="C20" s="3268" t="s">
        <v>3556</v>
      </c>
      <c r="D20" s="3268" t="s">
        <v>3555</v>
      </c>
      <c r="E20" s="3259" t="s">
        <v>3135</v>
      </c>
      <c r="F20" s="3275" t="s">
        <v>3188</v>
      </c>
      <c r="G20" s="3259"/>
      <c r="H20" s="3259" t="s">
        <v>3187</v>
      </c>
      <c r="I20" s="3259" t="s">
        <v>3476</v>
      </c>
      <c r="J20" s="3268" t="s">
        <v>3554</v>
      </c>
      <c r="K20" s="3259" t="s">
        <v>3553</v>
      </c>
      <c r="L20" s="3333">
        <v>64.19</v>
      </c>
      <c r="M20" s="3259">
        <v>4</v>
      </c>
      <c r="N20" s="3276" t="s">
        <v>3450</v>
      </c>
      <c r="O20" s="3259" t="s">
        <v>2977</v>
      </c>
      <c r="P20" s="3259" t="s">
        <v>2972</v>
      </c>
      <c r="Q20" s="3274">
        <v>242783</v>
      </c>
      <c r="R20" s="3273">
        <v>3782</v>
      </c>
      <c r="S20" s="3270">
        <v>28.88</v>
      </c>
      <c r="T20" s="3272">
        <v>288800</v>
      </c>
      <c r="U20" s="3259">
        <v>4500</v>
      </c>
      <c r="V20" s="3271">
        <v>0.2</v>
      </c>
      <c r="W20" s="3270">
        <v>23.1</v>
      </c>
      <c r="X20" s="3269">
        <v>231000</v>
      </c>
      <c r="Y20" s="3258">
        <v>2009</v>
      </c>
      <c r="Z20" s="3258">
        <v>2</v>
      </c>
      <c r="AA20" s="3258">
        <v>10</v>
      </c>
      <c r="AB20" s="3259">
        <v>865</v>
      </c>
      <c r="AC20" s="3259" t="s">
        <v>3140</v>
      </c>
      <c r="AD20" s="3332">
        <v>91162008110105</v>
      </c>
      <c r="AE20" s="3258" t="s">
        <v>3147</v>
      </c>
      <c r="AF20" s="3259" t="s">
        <v>2975</v>
      </c>
      <c r="AG20" s="3265" t="s">
        <v>2976</v>
      </c>
      <c r="AH20" s="3259" t="s">
        <v>2977</v>
      </c>
      <c r="AI20" s="3259" t="s">
        <v>3128</v>
      </c>
      <c r="AJ20" s="3267"/>
      <c r="AK20" s="3266">
        <v>2</v>
      </c>
      <c r="AL20" s="3258">
        <v>28</v>
      </c>
      <c r="AM20" s="3259" t="s">
        <v>3552</v>
      </c>
      <c r="AN20" s="3258" t="s">
        <v>3234</v>
      </c>
      <c r="AO20" s="3258"/>
      <c r="AP20" s="3258" t="s">
        <v>3258</v>
      </c>
      <c r="AQ20" s="3265" t="s">
        <v>3125</v>
      </c>
      <c r="AR20" s="3258"/>
      <c r="AS20" s="3258"/>
      <c r="AT20" s="3258"/>
      <c r="AU20" s="3258"/>
      <c r="AV20" s="3258"/>
      <c r="AW20" s="3258" t="s">
        <v>3448</v>
      </c>
      <c r="AX20" s="3258"/>
      <c r="AY20" s="3264"/>
      <c r="AZ20" s="3259" t="s">
        <v>3551</v>
      </c>
      <c r="BA20" s="3258"/>
      <c r="BB20" s="3264"/>
      <c r="BC20" s="3258"/>
      <c r="BD20" s="3263"/>
      <c r="BE20" s="3258">
        <v>60712233</v>
      </c>
      <c r="BF20" s="3262"/>
      <c r="BG20" s="3261">
        <v>39731</v>
      </c>
      <c r="BH20" s="3258"/>
      <c r="BI20" s="3258" t="s">
        <v>3258</v>
      </c>
      <c r="BJ20" s="3260">
        <v>39773</v>
      </c>
      <c r="BK20" s="3260"/>
      <c r="BL20" s="3259" t="s">
        <v>3007</v>
      </c>
      <c r="BM20" s="3258" t="s">
        <v>3170</v>
      </c>
      <c r="BN20" s="3258" t="s">
        <v>3008</v>
      </c>
      <c r="BO20" s="3258" t="s">
        <v>3009</v>
      </c>
      <c r="BP20" s="3258"/>
      <c r="BQ20" s="3258" t="e">
        <v>#VALUE!</v>
      </c>
      <c r="BR20" s="3258" t="e">
        <v>#VALUE!</v>
      </c>
      <c r="BS20" s="3257" t="s">
        <v>3258</v>
      </c>
      <c r="BT20" s="3257" t="s">
        <v>3140</v>
      </c>
      <c r="BU20" s="3256"/>
    </row>
    <row r="21" spans="1:73">
      <c r="A21" s="3259" t="s">
        <v>3550</v>
      </c>
      <c r="B21" s="3259" t="s">
        <v>3546</v>
      </c>
      <c r="C21" s="3268" t="s">
        <v>3549</v>
      </c>
      <c r="D21" s="3268" t="s">
        <v>3548</v>
      </c>
      <c r="E21" s="3259" t="s">
        <v>3135</v>
      </c>
      <c r="F21" s="3275" t="s">
        <v>3188</v>
      </c>
      <c r="G21" s="3259"/>
      <c r="H21" s="3259" t="s">
        <v>3187</v>
      </c>
      <c r="I21" s="3259" t="s">
        <v>3476</v>
      </c>
      <c r="J21" s="3268" t="s">
        <v>3547</v>
      </c>
      <c r="K21" s="3259" t="s">
        <v>3546</v>
      </c>
      <c r="L21" s="3333">
        <v>64.19</v>
      </c>
      <c r="M21" s="3259">
        <v>4</v>
      </c>
      <c r="N21" s="3276" t="s">
        <v>3450</v>
      </c>
      <c r="O21" s="3259" t="s">
        <v>2977</v>
      </c>
      <c r="P21" s="3259" t="s">
        <v>2972</v>
      </c>
      <c r="Q21" s="3274">
        <v>242783</v>
      </c>
      <c r="R21" s="3273">
        <v>3782</v>
      </c>
      <c r="S21" s="3270">
        <v>28.88</v>
      </c>
      <c r="T21" s="3272">
        <v>288800</v>
      </c>
      <c r="U21" s="3259">
        <v>4500</v>
      </c>
      <c r="V21" s="3271">
        <v>0.2</v>
      </c>
      <c r="W21" s="3270">
        <v>23.1</v>
      </c>
      <c r="X21" s="3269">
        <v>231000</v>
      </c>
      <c r="Y21" s="3258">
        <v>2009</v>
      </c>
      <c r="Z21" s="3258">
        <v>2</v>
      </c>
      <c r="AA21" s="3258">
        <v>10</v>
      </c>
      <c r="AB21" s="3259">
        <v>865</v>
      </c>
      <c r="AC21" s="3259" t="s">
        <v>3140</v>
      </c>
      <c r="AD21" s="3332">
        <v>91162008110100</v>
      </c>
      <c r="AE21" s="3258" t="s">
        <v>3147</v>
      </c>
      <c r="AF21" s="3259" t="s">
        <v>2975</v>
      </c>
      <c r="AG21" s="3265" t="s">
        <v>2976</v>
      </c>
      <c r="AH21" s="3259" t="s">
        <v>2977</v>
      </c>
      <c r="AI21" s="3259" t="s">
        <v>3128</v>
      </c>
      <c r="AJ21" s="3267"/>
      <c r="AK21" s="3266">
        <v>2</v>
      </c>
      <c r="AL21" s="3258">
        <v>28</v>
      </c>
      <c r="AM21" s="3259" t="s">
        <v>3545</v>
      </c>
      <c r="AN21" s="3258" t="s">
        <v>3234</v>
      </c>
      <c r="AO21" s="3258"/>
      <c r="AP21" s="3258" t="s">
        <v>3258</v>
      </c>
      <c r="AQ21" s="3265" t="s">
        <v>3125</v>
      </c>
      <c r="AR21" s="3258"/>
      <c r="AS21" s="3258"/>
      <c r="AT21" s="3258"/>
      <c r="AU21" s="3258"/>
      <c r="AV21" s="3258"/>
      <c r="AW21" s="3258" t="s">
        <v>3448</v>
      </c>
      <c r="AX21" s="3258"/>
      <c r="AY21" s="3264"/>
      <c r="AZ21" s="3259" t="s">
        <v>3544</v>
      </c>
      <c r="BA21" s="3258"/>
      <c r="BB21" s="3264"/>
      <c r="BC21" s="3258"/>
      <c r="BD21" s="3263"/>
      <c r="BE21" s="3258">
        <v>60712233</v>
      </c>
      <c r="BF21" s="3262"/>
      <c r="BG21" s="3261">
        <v>39731</v>
      </c>
      <c r="BH21" s="3258"/>
      <c r="BI21" s="3258" t="s">
        <v>3258</v>
      </c>
      <c r="BJ21" s="3260">
        <v>39772</v>
      </c>
      <c r="BK21" s="3260"/>
      <c r="BL21" s="3259" t="s">
        <v>3007</v>
      </c>
      <c r="BM21" s="3258" t="s">
        <v>3170</v>
      </c>
      <c r="BN21" s="3258" t="s">
        <v>3008</v>
      </c>
      <c r="BO21" s="3258" t="s">
        <v>3009</v>
      </c>
      <c r="BP21" s="3258"/>
      <c r="BQ21" s="3258" t="e">
        <v>#VALUE!</v>
      </c>
      <c r="BR21" s="3258" t="e">
        <v>#VALUE!</v>
      </c>
      <c r="BS21" s="3257" t="s">
        <v>3258</v>
      </c>
      <c r="BT21" s="3257" t="s">
        <v>3140</v>
      </c>
      <c r="BU21" s="3256"/>
    </row>
    <row r="22" spans="1:73">
      <c r="A22" s="3259" t="s">
        <v>3543</v>
      </c>
      <c r="B22" s="3259" t="s">
        <v>3540</v>
      </c>
      <c r="C22" s="3268" t="s">
        <v>3542</v>
      </c>
      <c r="D22" s="3268" t="s">
        <v>3477</v>
      </c>
      <c r="E22" s="3259" t="s">
        <v>3135</v>
      </c>
      <c r="F22" s="3275" t="s">
        <v>3188</v>
      </c>
      <c r="G22" s="3259"/>
      <c r="H22" s="3259" t="s">
        <v>3228</v>
      </c>
      <c r="I22" s="3259" t="s">
        <v>3519</v>
      </c>
      <c r="J22" s="3268" t="s">
        <v>3541</v>
      </c>
      <c r="K22" s="3259" t="s">
        <v>3540</v>
      </c>
      <c r="L22" s="3333">
        <v>78.72</v>
      </c>
      <c r="M22" s="3259">
        <v>4</v>
      </c>
      <c r="N22" s="3276" t="s">
        <v>3516</v>
      </c>
      <c r="O22" s="3259" t="s">
        <v>2977</v>
      </c>
      <c r="P22" s="3259" t="s">
        <v>2972</v>
      </c>
      <c r="Q22" s="3274">
        <v>301399</v>
      </c>
      <c r="R22" s="3273">
        <v>3829</v>
      </c>
      <c r="S22" s="3270">
        <v>35.42</v>
      </c>
      <c r="T22" s="3272">
        <v>354200</v>
      </c>
      <c r="U22" s="3259">
        <v>4500</v>
      </c>
      <c r="V22" s="3271">
        <v>0.2</v>
      </c>
      <c r="W22" s="3270">
        <v>28.33</v>
      </c>
      <c r="X22" s="3269">
        <v>283300</v>
      </c>
      <c r="Y22" s="3258">
        <v>2009</v>
      </c>
      <c r="Z22" s="3258">
        <v>2</v>
      </c>
      <c r="AA22" s="3258">
        <v>10</v>
      </c>
      <c r="AB22" s="3259">
        <v>1060</v>
      </c>
      <c r="AC22" s="3259" t="s">
        <v>3140</v>
      </c>
      <c r="AD22" s="3332">
        <v>91162008110108</v>
      </c>
      <c r="AE22" s="3258" t="s">
        <v>3147</v>
      </c>
      <c r="AF22" s="3259" t="s">
        <v>2975</v>
      </c>
      <c r="AG22" s="3265" t="s">
        <v>2976</v>
      </c>
      <c r="AH22" s="3259" t="s">
        <v>2977</v>
      </c>
      <c r="AI22" s="3259" t="s">
        <v>3128</v>
      </c>
      <c r="AJ22" s="3267"/>
      <c r="AK22" s="3266">
        <v>2</v>
      </c>
      <c r="AL22" s="3258">
        <v>28</v>
      </c>
      <c r="AM22" s="3259" t="s">
        <v>3539</v>
      </c>
      <c r="AN22" s="3258" t="s">
        <v>3234</v>
      </c>
      <c r="AO22" s="3258"/>
      <c r="AP22" s="3258" t="s">
        <v>3258</v>
      </c>
      <c r="AQ22" s="3265" t="s">
        <v>3125</v>
      </c>
      <c r="AR22" s="3258"/>
      <c r="AS22" s="3258"/>
      <c r="AT22" s="3258"/>
      <c r="AU22" s="3258"/>
      <c r="AV22" s="3258"/>
      <c r="AW22" s="3258" t="s">
        <v>3448</v>
      </c>
      <c r="AX22" s="3258"/>
      <c r="AY22" s="3264"/>
      <c r="AZ22" s="3259" t="s">
        <v>3538</v>
      </c>
      <c r="BA22" s="3258"/>
      <c r="BB22" s="3264"/>
      <c r="BC22" s="3258"/>
      <c r="BD22" s="3263"/>
      <c r="BE22" s="3258">
        <v>60712233</v>
      </c>
      <c r="BF22" s="3262"/>
      <c r="BG22" s="3261">
        <v>39731</v>
      </c>
      <c r="BH22" s="3258"/>
      <c r="BI22" s="3258" t="s">
        <v>3258</v>
      </c>
      <c r="BJ22" s="3260">
        <v>39773</v>
      </c>
      <c r="BK22" s="3260"/>
      <c r="BL22" s="3259" t="s">
        <v>3007</v>
      </c>
      <c r="BM22" s="3258" t="s">
        <v>3170</v>
      </c>
      <c r="BN22" s="3258" t="s">
        <v>3008</v>
      </c>
      <c r="BO22" s="3258" t="s">
        <v>3009</v>
      </c>
      <c r="BP22" s="3258"/>
      <c r="BQ22" s="3258" t="e">
        <v>#VALUE!</v>
      </c>
      <c r="BR22" s="3258" t="e">
        <v>#VALUE!</v>
      </c>
      <c r="BS22" s="3257" t="s">
        <v>3258</v>
      </c>
      <c r="BT22" s="3257" t="s">
        <v>3140</v>
      </c>
      <c r="BU22" s="3256"/>
    </row>
    <row r="23" spans="1:73">
      <c r="A23" s="3259" t="s">
        <v>3537</v>
      </c>
      <c r="B23" s="3259" t="s">
        <v>3532</v>
      </c>
      <c r="C23" s="3268" t="s">
        <v>3536</v>
      </c>
      <c r="D23" s="3268" t="s">
        <v>3535</v>
      </c>
      <c r="E23" s="3259" t="s">
        <v>3135</v>
      </c>
      <c r="F23" s="3275" t="s">
        <v>3188</v>
      </c>
      <c r="G23" s="3259"/>
      <c r="H23" s="3259" t="s">
        <v>3228</v>
      </c>
      <c r="I23" s="3259" t="s">
        <v>3534</v>
      </c>
      <c r="J23" s="3268" t="s">
        <v>3533</v>
      </c>
      <c r="K23" s="3259" t="s">
        <v>3532</v>
      </c>
      <c r="L23" s="3333">
        <v>64.19</v>
      </c>
      <c r="M23" s="3259">
        <v>2</v>
      </c>
      <c r="N23" s="3276" t="s">
        <v>3450</v>
      </c>
      <c r="O23" s="3259" t="s">
        <v>2977</v>
      </c>
      <c r="P23" s="3259" t="s">
        <v>2972</v>
      </c>
      <c r="Q23" s="3274">
        <v>242783</v>
      </c>
      <c r="R23" s="3273">
        <v>3782</v>
      </c>
      <c r="S23" s="3270">
        <v>28.3</v>
      </c>
      <c r="T23" s="3272">
        <v>283000</v>
      </c>
      <c r="U23" s="3259">
        <v>4410</v>
      </c>
      <c r="V23" s="3271">
        <v>0.2</v>
      </c>
      <c r="W23" s="3270">
        <v>22.64</v>
      </c>
      <c r="X23" s="3269">
        <v>226400</v>
      </c>
      <c r="Y23" s="3258">
        <v>2009</v>
      </c>
      <c r="Z23" s="3258">
        <v>2</v>
      </c>
      <c r="AA23" s="3258">
        <v>10</v>
      </c>
      <c r="AB23" s="3259">
        <v>845</v>
      </c>
      <c r="AC23" s="3259" t="s">
        <v>3140</v>
      </c>
      <c r="AD23" s="3332">
        <v>91162008110099</v>
      </c>
      <c r="AE23" s="3258" t="s">
        <v>3147</v>
      </c>
      <c r="AF23" s="3259" t="s">
        <v>2975</v>
      </c>
      <c r="AG23" s="3265" t="s">
        <v>2976</v>
      </c>
      <c r="AH23" s="3259" t="s">
        <v>2977</v>
      </c>
      <c r="AI23" s="3259" t="s">
        <v>3128</v>
      </c>
      <c r="AJ23" s="3267"/>
      <c r="AK23" s="3266">
        <v>2</v>
      </c>
      <c r="AL23" s="3258">
        <v>28</v>
      </c>
      <c r="AM23" s="3258" t="s">
        <v>3531</v>
      </c>
      <c r="AN23" s="3258" t="s">
        <v>3234</v>
      </c>
      <c r="AO23" s="3258"/>
      <c r="AP23" s="3258" t="s">
        <v>3258</v>
      </c>
      <c r="AQ23" s="3265" t="s">
        <v>3125</v>
      </c>
      <c r="AR23" s="3258"/>
      <c r="AS23" s="3258"/>
      <c r="AT23" s="3258"/>
      <c r="AU23" s="3258"/>
      <c r="AV23" s="3258"/>
      <c r="AW23" s="3258" t="s">
        <v>3448</v>
      </c>
      <c r="AX23" s="3258"/>
      <c r="AY23" s="3264"/>
      <c r="AZ23" s="3259" t="s">
        <v>3530</v>
      </c>
      <c r="BA23" s="3258"/>
      <c r="BB23" s="3264"/>
      <c r="BC23" s="3258"/>
      <c r="BD23" s="3263"/>
      <c r="BE23" s="3258">
        <v>60712233</v>
      </c>
      <c r="BF23" s="3262"/>
      <c r="BG23" s="3261">
        <v>39731</v>
      </c>
      <c r="BH23" s="3258"/>
      <c r="BI23" s="3258" t="s">
        <v>3258</v>
      </c>
      <c r="BJ23" s="3260">
        <v>39772</v>
      </c>
      <c r="BK23" s="3260"/>
      <c r="BL23" s="3259" t="s">
        <v>3007</v>
      </c>
      <c r="BM23" s="3258" t="s">
        <v>3170</v>
      </c>
      <c r="BN23" s="3258" t="s">
        <v>3008</v>
      </c>
      <c r="BO23" s="3258" t="s">
        <v>3009</v>
      </c>
      <c r="BP23" s="3258"/>
      <c r="BQ23" s="3258" t="e">
        <v>#VALUE!</v>
      </c>
      <c r="BR23" s="3258" t="e">
        <v>#VALUE!</v>
      </c>
      <c r="BS23" s="3257" t="s">
        <v>3258</v>
      </c>
      <c r="BT23" s="3257" t="s">
        <v>3140</v>
      </c>
      <c r="BU23" s="3256"/>
    </row>
    <row r="24" spans="1:73">
      <c r="A24" s="3259" t="s">
        <v>3529</v>
      </c>
      <c r="B24" s="3259" t="s">
        <v>3524</v>
      </c>
      <c r="C24" s="3268" t="s">
        <v>3528</v>
      </c>
      <c r="D24" s="3268" t="s">
        <v>3527</v>
      </c>
      <c r="E24" s="3259" t="s">
        <v>3135</v>
      </c>
      <c r="F24" s="3275" t="s">
        <v>3188</v>
      </c>
      <c r="G24" s="3259"/>
      <c r="H24" s="3259" t="s">
        <v>3228</v>
      </c>
      <c r="I24" s="3259" t="s">
        <v>3526</v>
      </c>
      <c r="J24" s="3268" t="s">
        <v>3525</v>
      </c>
      <c r="K24" s="3259" t="s">
        <v>3524</v>
      </c>
      <c r="L24" s="3333">
        <v>64.19</v>
      </c>
      <c r="M24" s="3259">
        <v>4</v>
      </c>
      <c r="N24" s="3276" t="s">
        <v>3516</v>
      </c>
      <c r="O24" s="3259" t="s">
        <v>2977</v>
      </c>
      <c r="P24" s="3259" t="s">
        <v>2972</v>
      </c>
      <c r="Q24" s="3274">
        <v>242783</v>
      </c>
      <c r="R24" s="3273">
        <v>3782</v>
      </c>
      <c r="S24" s="3270">
        <v>28.88</v>
      </c>
      <c r="T24" s="3272">
        <v>288800</v>
      </c>
      <c r="U24" s="3259">
        <v>4500</v>
      </c>
      <c r="V24" s="3271">
        <v>0.2</v>
      </c>
      <c r="W24" s="3270">
        <v>23.1</v>
      </c>
      <c r="X24" s="3269">
        <v>231000</v>
      </c>
      <c r="Y24" s="3258">
        <v>2009</v>
      </c>
      <c r="Z24" s="3258">
        <v>2</v>
      </c>
      <c r="AA24" s="3258">
        <v>10</v>
      </c>
      <c r="AB24" s="3259">
        <v>865</v>
      </c>
      <c r="AC24" s="3259" t="s">
        <v>3140</v>
      </c>
      <c r="AD24" s="3332">
        <v>91162008110109</v>
      </c>
      <c r="AE24" s="3258" t="s">
        <v>3147</v>
      </c>
      <c r="AF24" s="3259" t="s">
        <v>2975</v>
      </c>
      <c r="AG24" s="3265" t="s">
        <v>2976</v>
      </c>
      <c r="AH24" s="3259" t="s">
        <v>2977</v>
      </c>
      <c r="AI24" s="3259" t="s">
        <v>3128</v>
      </c>
      <c r="AJ24" s="3267"/>
      <c r="AK24" s="3266">
        <v>2</v>
      </c>
      <c r="AL24" s="3258">
        <v>28</v>
      </c>
      <c r="AM24" s="3259" t="s">
        <v>3523</v>
      </c>
      <c r="AN24" s="3258" t="s">
        <v>3234</v>
      </c>
      <c r="AO24" s="3258"/>
      <c r="AP24" s="3258" t="s">
        <v>3258</v>
      </c>
      <c r="AQ24" s="3265" t="s">
        <v>3125</v>
      </c>
      <c r="AR24" s="3258"/>
      <c r="AS24" s="3258"/>
      <c r="AT24" s="3258"/>
      <c r="AU24" s="3258"/>
      <c r="AV24" s="3258"/>
      <c r="AW24" s="3258" t="s">
        <v>3448</v>
      </c>
      <c r="AX24" s="3258"/>
      <c r="AY24" s="3264"/>
      <c r="AZ24" s="3259" t="s">
        <v>3522</v>
      </c>
      <c r="BA24" s="3258"/>
      <c r="BB24" s="3264"/>
      <c r="BC24" s="3258"/>
      <c r="BD24" s="3263"/>
      <c r="BE24" s="3258">
        <v>60712233</v>
      </c>
      <c r="BF24" s="3262"/>
      <c r="BG24" s="3261">
        <v>39731</v>
      </c>
      <c r="BH24" s="3258"/>
      <c r="BI24" s="3258" t="s">
        <v>3258</v>
      </c>
      <c r="BJ24" s="3260">
        <v>39773</v>
      </c>
      <c r="BK24" s="3260"/>
      <c r="BL24" s="3259" t="s">
        <v>3007</v>
      </c>
      <c r="BM24" s="3258" t="s">
        <v>3170</v>
      </c>
      <c r="BN24" s="3258" t="s">
        <v>3008</v>
      </c>
      <c r="BO24" s="3258" t="s">
        <v>3009</v>
      </c>
      <c r="BP24" s="3258"/>
      <c r="BQ24" s="3258" t="e">
        <v>#VALUE!</v>
      </c>
      <c r="BR24" s="3258" t="e">
        <v>#VALUE!</v>
      </c>
      <c r="BS24" s="3257" t="s">
        <v>3258</v>
      </c>
      <c r="BT24" s="3257" t="s">
        <v>3140</v>
      </c>
      <c r="BU24" s="3256"/>
    </row>
    <row r="25" spans="1:73">
      <c r="A25" s="3259" t="s">
        <v>3521</v>
      </c>
      <c r="B25" s="3259" t="s">
        <v>3517</v>
      </c>
      <c r="C25" s="3268" t="s">
        <v>3520</v>
      </c>
      <c r="D25" s="3268" t="s">
        <v>3477</v>
      </c>
      <c r="E25" s="3259" t="s">
        <v>3135</v>
      </c>
      <c r="F25" s="3275" t="s">
        <v>3188</v>
      </c>
      <c r="G25" s="3259"/>
      <c r="H25" s="3259" t="s">
        <v>3187</v>
      </c>
      <c r="I25" s="3259" t="s">
        <v>3519</v>
      </c>
      <c r="J25" s="3268" t="s">
        <v>3518</v>
      </c>
      <c r="K25" s="3259" t="s">
        <v>3517</v>
      </c>
      <c r="L25" s="3333">
        <v>64.19</v>
      </c>
      <c r="M25" s="3259">
        <v>4</v>
      </c>
      <c r="N25" s="3276" t="s">
        <v>3516</v>
      </c>
      <c r="O25" s="3259" t="s">
        <v>2977</v>
      </c>
      <c r="P25" s="3259" t="s">
        <v>2972</v>
      </c>
      <c r="Q25" s="3274">
        <v>242783</v>
      </c>
      <c r="R25" s="3273">
        <v>3782</v>
      </c>
      <c r="S25" s="3270">
        <v>28.88</v>
      </c>
      <c r="T25" s="3272">
        <v>288800</v>
      </c>
      <c r="U25" s="3259">
        <v>4500</v>
      </c>
      <c r="V25" s="3271">
        <v>0.2</v>
      </c>
      <c r="W25" s="3270">
        <v>23.1</v>
      </c>
      <c r="X25" s="3269">
        <v>231000</v>
      </c>
      <c r="Y25" s="3258">
        <v>2009</v>
      </c>
      <c r="Z25" s="3258">
        <v>2</v>
      </c>
      <c r="AA25" s="3258">
        <v>10</v>
      </c>
      <c r="AB25" s="3259">
        <v>865</v>
      </c>
      <c r="AC25" s="3259" t="s">
        <v>3140</v>
      </c>
      <c r="AD25" s="3332">
        <v>91162008110107</v>
      </c>
      <c r="AE25" s="3258" t="s">
        <v>3147</v>
      </c>
      <c r="AF25" s="3259" t="s">
        <v>2975</v>
      </c>
      <c r="AG25" s="3265" t="s">
        <v>2976</v>
      </c>
      <c r="AH25" s="3259" t="s">
        <v>2977</v>
      </c>
      <c r="AI25" s="3259" t="s">
        <v>3128</v>
      </c>
      <c r="AJ25" s="3267"/>
      <c r="AK25" s="3266">
        <v>2</v>
      </c>
      <c r="AL25" s="3258">
        <v>28</v>
      </c>
      <c r="AM25" s="3259" t="s">
        <v>3515</v>
      </c>
      <c r="AN25" s="3258" t="s">
        <v>3234</v>
      </c>
      <c r="AO25" s="3258"/>
      <c r="AP25" s="3258" t="s">
        <v>3258</v>
      </c>
      <c r="AQ25" s="3265" t="s">
        <v>3125</v>
      </c>
      <c r="AR25" s="3258"/>
      <c r="AS25" s="3258"/>
      <c r="AT25" s="3258"/>
      <c r="AU25" s="3258"/>
      <c r="AV25" s="3258"/>
      <c r="AW25" s="3258" t="s">
        <v>3448</v>
      </c>
      <c r="AX25" s="3258"/>
      <c r="AY25" s="3264"/>
      <c r="AZ25" s="3259" t="s">
        <v>3514</v>
      </c>
      <c r="BA25" s="3258"/>
      <c r="BB25" s="3264"/>
      <c r="BC25" s="3258"/>
      <c r="BD25" s="3263"/>
      <c r="BE25" s="3258">
        <v>60712233</v>
      </c>
      <c r="BF25" s="3262"/>
      <c r="BG25" s="3261">
        <v>39731</v>
      </c>
      <c r="BH25" s="3258"/>
      <c r="BI25" s="3258" t="s">
        <v>3258</v>
      </c>
      <c r="BJ25" s="3260">
        <v>39773</v>
      </c>
      <c r="BK25" s="3260"/>
      <c r="BL25" s="3259" t="s">
        <v>3007</v>
      </c>
      <c r="BM25" s="3258" t="s">
        <v>3170</v>
      </c>
      <c r="BN25" s="3258" t="s">
        <v>3008</v>
      </c>
      <c r="BO25" s="3258" t="s">
        <v>3009</v>
      </c>
      <c r="BP25" s="3258"/>
      <c r="BQ25" s="3258" t="e">
        <v>#VALUE!</v>
      </c>
      <c r="BR25" s="3258" t="e">
        <v>#VALUE!</v>
      </c>
      <c r="BS25" s="3257" t="s">
        <v>3258</v>
      </c>
      <c r="BT25" s="3257" t="s">
        <v>3140</v>
      </c>
      <c r="BU25" s="3256"/>
    </row>
    <row r="26" spans="1:73">
      <c r="A26" s="3259" t="s">
        <v>3513</v>
      </c>
      <c r="B26" s="3259" t="s">
        <v>3510</v>
      </c>
      <c r="C26" s="3268" t="s">
        <v>3512</v>
      </c>
      <c r="D26" s="3268" t="s">
        <v>3511</v>
      </c>
      <c r="E26" s="3259" t="s">
        <v>3135</v>
      </c>
      <c r="F26" s="3275" t="s">
        <v>3134</v>
      </c>
      <c r="G26" s="3259"/>
      <c r="H26" s="3259" t="s">
        <v>3228</v>
      </c>
      <c r="I26" s="3259" t="s">
        <v>3435</v>
      </c>
      <c r="J26" s="3268" t="s">
        <v>3363</v>
      </c>
      <c r="K26" s="3259" t="s">
        <v>3510</v>
      </c>
      <c r="L26" s="3259">
        <v>56.88</v>
      </c>
      <c r="M26" s="3259">
        <v>4</v>
      </c>
      <c r="N26" s="3259" t="s">
        <v>3149</v>
      </c>
      <c r="O26" s="3259"/>
      <c r="P26" s="3259" t="s">
        <v>2972</v>
      </c>
      <c r="Q26" s="3274">
        <v>380000</v>
      </c>
      <c r="R26" s="3273">
        <v>6681</v>
      </c>
      <c r="S26" s="3270">
        <v>35.549999999999997</v>
      </c>
      <c r="T26" s="3272">
        <v>355500</v>
      </c>
      <c r="U26" s="3259">
        <v>6250</v>
      </c>
      <c r="V26" s="3271">
        <v>0.2</v>
      </c>
      <c r="W26" s="3270">
        <v>28.44</v>
      </c>
      <c r="X26" s="3269">
        <v>284400</v>
      </c>
      <c r="Y26" s="3258">
        <v>2009</v>
      </c>
      <c r="Z26" s="3258">
        <v>1</v>
      </c>
      <c r="AA26" s="3258">
        <v>8</v>
      </c>
      <c r="AB26" s="3259">
        <v>1065</v>
      </c>
      <c r="AC26" s="3259" t="s">
        <v>3140</v>
      </c>
      <c r="AD26" s="3259">
        <v>91162008120089</v>
      </c>
      <c r="AE26" s="3258" t="s">
        <v>3509</v>
      </c>
      <c r="AF26" s="3259" t="s">
        <v>2975</v>
      </c>
      <c r="AG26" s="3259" t="s">
        <v>2976</v>
      </c>
      <c r="AH26" s="3259"/>
      <c r="AI26" s="3259" t="s">
        <v>3128</v>
      </c>
      <c r="AJ26" s="3267"/>
      <c r="AK26" s="3266" t="s">
        <v>3193</v>
      </c>
      <c r="AL26" s="3258">
        <v>31</v>
      </c>
      <c r="AM26" s="3258" t="s">
        <v>3508</v>
      </c>
      <c r="AN26" s="3258" t="s">
        <v>3193</v>
      </c>
      <c r="AO26" s="3258"/>
      <c r="AP26" s="3258" t="s">
        <v>3258</v>
      </c>
      <c r="AQ26" s="3258" t="s">
        <v>3125</v>
      </c>
      <c r="AR26" s="3258"/>
      <c r="AS26" s="3258"/>
      <c r="AT26" s="3258"/>
      <c r="AU26" s="3258"/>
      <c r="AV26" s="3258"/>
      <c r="AW26" s="3258" t="s">
        <v>3144</v>
      </c>
      <c r="AX26" s="3258"/>
      <c r="AY26" s="3264"/>
      <c r="AZ26" s="3258" t="s">
        <v>3507</v>
      </c>
      <c r="BA26" s="3258"/>
      <c r="BB26" s="3264"/>
      <c r="BC26" s="3258"/>
      <c r="BD26" s="3263"/>
      <c r="BE26" s="3258">
        <v>13521415061</v>
      </c>
      <c r="BF26" s="3262"/>
      <c r="BG26" s="3261">
        <v>39731</v>
      </c>
      <c r="BH26" s="3258"/>
      <c r="BI26" s="3258" t="s">
        <v>3258</v>
      </c>
      <c r="BJ26" s="3260">
        <v>39801</v>
      </c>
      <c r="BK26" s="3260"/>
      <c r="BL26" s="3258" t="s">
        <v>3007</v>
      </c>
      <c r="BM26" s="3258" t="s">
        <v>2881</v>
      </c>
      <c r="BN26" s="3258" t="s">
        <v>3122</v>
      </c>
      <c r="BO26" s="3258" t="s">
        <v>3009</v>
      </c>
      <c r="BP26" s="3258"/>
      <c r="BQ26" s="3258" t="e">
        <v>#DIV/0!</v>
      </c>
      <c r="BR26" s="3258" t="e">
        <v>#DIV/0!</v>
      </c>
      <c r="BS26" s="3257" t="s">
        <v>3258</v>
      </c>
      <c r="BT26" s="3257" t="s">
        <v>3140</v>
      </c>
      <c r="BU26" s="3256"/>
    </row>
    <row r="27" spans="1:73">
      <c r="A27" s="3259" t="s">
        <v>3506</v>
      </c>
      <c r="B27" s="3259" t="s">
        <v>3503</v>
      </c>
      <c r="C27" s="3268" t="s">
        <v>3505</v>
      </c>
      <c r="D27" s="3268" t="s">
        <v>3462</v>
      </c>
      <c r="E27" s="3259" t="s">
        <v>3135</v>
      </c>
      <c r="F27" s="3275" t="s">
        <v>3188</v>
      </c>
      <c r="G27" s="3259"/>
      <c r="H27" s="3259" t="s">
        <v>3228</v>
      </c>
      <c r="I27" s="3259" t="s">
        <v>3453</v>
      </c>
      <c r="J27" s="3268" t="s">
        <v>3504</v>
      </c>
      <c r="K27" s="3259" t="s">
        <v>3503</v>
      </c>
      <c r="L27" s="3333">
        <v>55.09</v>
      </c>
      <c r="M27" s="3259">
        <v>2</v>
      </c>
      <c r="N27" s="3276" t="s">
        <v>3450</v>
      </c>
      <c r="O27" s="3259" t="s">
        <v>2977</v>
      </c>
      <c r="P27" s="3259" t="s">
        <v>2972</v>
      </c>
      <c r="Q27" s="3274">
        <v>209934</v>
      </c>
      <c r="R27" s="3273">
        <v>3811</v>
      </c>
      <c r="S27" s="3270">
        <v>24.29</v>
      </c>
      <c r="T27" s="3272">
        <v>242900</v>
      </c>
      <c r="U27" s="3259">
        <v>4410</v>
      </c>
      <c r="V27" s="3271">
        <v>0.2</v>
      </c>
      <c r="W27" s="3270">
        <v>19.43</v>
      </c>
      <c r="X27" s="3269">
        <v>194300</v>
      </c>
      <c r="Y27" s="3258">
        <v>2009</v>
      </c>
      <c r="Z27" s="3258">
        <v>2</v>
      </c>
      <c r="AA27" s="3258">
        <v>10</v>
      </c>
      <c r="AB27" s="3259">
        <v>725</v>
      </c>
      <c r="AC27" s="3259" t="s">
        <v>3140</v>
      </c>
      <c r="AD27" s="3332">
        <v>91162008120136</v>
      </c>
      <c r="AE27" s="3258" t="s">
        <v>3147</v>
      </c>
      <c r="AF27" s="3259" t="s">
        <v>2975</v>
      </c>
      <c r="AG27" s="3265" t="s">
        <v>2976</v>
      </c>
      <c r="AH27" s="3259" t="s">
        <v>2977</v>
      </c>
      <c r="AI27" s="3259" t="s">
        <v>3128</v>
      </c>
      <c r="AJ27" s="3267"/>
      <c r="AK27" s="3266">
        <v>2</v>
      </c>
      <c r="AL27" s="3258">
        <v>28</v>
      </c>
      <c r="AM27" s="3259" t="s">
        <v>3502</v>
      </c>
      <c r="AN27" s="3258" t="s">
        <v>3234</v>
      </c>
      <c r="AO27" s="3258"/>
      <c r="AP27" s="3258" t="s">
        <v>3258</v>
      </c>
      <c r="AQ27" s="3265" t="s">
        <v>3125</v>
      </c>
      <c r="AR27" s="3258"/>
      <c r="AS27" s="3258"/>
      <c r="AT27" s="3258"/>
      <c r="AU27" s="3258"/>
      <c r="AV27" s="3258"/>
      <c r="AW27" s="3258" t="s">
        <v>3448</v>
      </c>
      <c r="AX27" s="3258"/>
      <c r="AY27" s="3264"/>
      <c r="AZ27" s="3259" t="s">
        <v>3501</v>
      </c>
      <c r="BA27" s="3258"/>
      <c r="BB27" s="3264"/>
      <c r="BC27" s="3258"/>
      <c r="BD27" s="3263"/>
      <c r="BE27" s="3258">
        <v>60712233</v>
      </c>
      <c r="BF27" s="3262"/>
      <c r="BG27" s="3261">
        <v>39731</v>
      </c>
      <c r="BH27" s="3258"/>
      <c r="BI27" s="3258" t="s">
        <v>3258</v>
      </c>
      <c r="BJ27" s="3260">
        <v>39813</v>
      </c>
      <c r="BK27" s="3260"/>
      <c r="BL27" s="3259" t="s">
        <v>3007</v>
      </c>
      <c r="BM27" s="3258" t="s">
        <v>3170</v>
      </c>
      <c r="BN27" s="3258" t="s">
        <v>3008</v>
      </c>
      <c r="BO27" s="3258" t="s">
        <v>3009</v>
      </c>
      <c r="BP27" s="3258"/>
      <c r="BQ27" s="3258" t="e">
        <v>#VALUE!</v>
      </c>
      <c r="BR27" s="3258" t="e">
        <v>#VALUE!</v>
      </c>
      <c r="BS27" s="3257" t="s">
        <v>3258</v>
      </c>
      <c r="BT27" s="3257" t="s">
        <v>3140</v>
      </c>
      <c r="BU27" s="3256"/>
    </row>
    <row r="28" spans="1:73">
      <c r="A28" s="3259" t="s">
        <v>3500</v>
      </c>
      <c r="B28" s="3259" t="s">
        <v>3496</v>
      </c>
      <c r="C28" s="3268" t="s">
        <v>3499</v>
      </c>
      <c r="D28" s="3268" t="s">
        <v>3462</v>
      </c>
      <c r="E28" s="3259" t="s">
        <v>3135</v>
      </c>
      <c r="F28" s="3275" t="s">
        <v>3188</v>
      </c>
      <c r="G28" s="3259"/>
      <c r="H28" s="3259" t="s">
        <v>3228</v>
      </c>
      <c r="I28" s="3259" t="s">
        <v>3498</v>
      </c>
      <c r="J28" s="3268" t="s">
        <v>3497</v>
      </c>
      <c r="K28" s="3259" t="s">
        <v>3496</v>
      </c>
      <c r="L28" s="3333">
        <v>57.92</v>
      </c>
      <c r="M28" s="3259">
        <v>1</v>
      </c>
      <c r="N28" s="3276" t="s">
        <v>3450</v>
      </c>
      <c r="O28" s="3259" t="s">
        <v>2977</v>
      </c>
      <c r="P28" s="3259" t="s">
        <v>2972</v>
      </c>
      <c r="Q28" s="3274">
        <v>218974</v>
      </c>
      <c r="R28" s="3273">
        <v>3781</v>
      </c>
      <c r="S28" s="3270">
        <v>25.02</v>
      </c>
      <c r="T28" s="3272">
        <v>250200</v>
      </c>
      <c r="U28" s="3259">
        <v>4320</v>
      </c>
      <c r="V28" s="3271">
        <v>0.2</v>
      </c>
      <c r="W28" s="3270">
        <v>20.010000000000002</v>
      </c>
      <c r="X28" s="3269">
        <v>200100.00000000003</v>
      </c>
      <c r="Y28" s="3258">
        <v>2009</v>
      </c>
      <c r="Z28" s="3258">
        <v>2</v>
      </c>
      <c r="AA28" s="3258">
        <v>10</v>
      </c>
      <c r="AB28" s="3259">
        <v>750</v>
      </c>
      <c r="AC28" s="3259" t="s">
        <v>3140</v>
      </c>
      <c r="AD28" s="3332">
        <v>91162008120134</v>
      </c>
      <c r="AE28" s="3258" t="s">
        <v>3147</v>
      </c>
      <c r="AF28" s="3259" t="s">
        <v>2975</v>
      </c>
      <c r="AG28" s="3265" t="s">
        <v>2976</v>
      </c>
      <c r="AH28" s="3259" t="s">
        <v>2977</v>
      </c>
      <c r="AI28" s="3259" t="s">
        <v>3128</v>
      </c>
      <c r="AJ28" s="3267"/>
      <c r="AK28" s="3266">
        <v>2</v>
      </c>
      <c r="AL28" s="3258">
        <v>28</v>
      </c>
      <c r="AM28" s="3259" t="s">
        <v>3495</v>
      </c>
      <c r="AN28" s="3258" t="s">
        <v>3234</v>
      </c>
      <c r="AO28" s="3258"/>
      <c r="AP28" s="3258" t="s">
        <v>3258</v>
      </c>
      <c r="AQ28" s="3265" t="s">
        <v>3125</v>
      </c>
      <c r="AR28" s="3258"/>
      <c r="AS28" s="3258"/>
      <c r="AT28" s="3258"/>
      <c r="AU28" s="3258"/>
      <c r="AV28" s="3258"/>
      <c r="AW28" s="3258" t="s">
        <v>3448</v>
      </c>
      <c r="AX28" s="3258"/>
      <c r="AY28" s="3264"/>
      <c r="AZ28" s="3259" t="s">
        <v>3494</v>
      </c>
      <c r="BA28" s="3258"/>
      <c r="BB28" s="3264"/>
      <c r="BC28" s="3258"/>
      <c r="BD28" s="3263"/>
      <c r="BE28" s="3258">
        <v>60712233</v>
      </c>
      <c r="BF28" s="3262"/>
      <c r="BG28" s="3261">
        <v>39731</v>
      </c>
      <c r="BH28" s="3258"/>
      <c r="BI28" s="3258" t="s">
        <v>3258</v>
      </c>
      <c r="BJ28" s="3260">
        <v>39813</v>
      </c>
      <c r="BK28" s="3260"/>
      <c r="BL28" s="3259" t="s">
        <v>3007</v>
      </c>
      <c r="BM28" s="3258" t="s">
        <v>3170</v>
      </c>
      <c r="BN28" s="3258" t="s">
        <v>3008</v>
      </c>
      <c r="BO28" s="3258" t="s">
        <v>3009</v>
      </c>
      <c r="BP28" s="3258"/>
      <c r="BQ28" s="3258" t="e">
        <v>#VALUE!</v>
      </c>
      <c r="BR28" s="3258" t="e">
        <v>#VALUE!</v>
      </c>
      <c r="BS28" s="3257" t="s">
        <v>3258</v>
      </c>
      <c r="BT28" s="3257" t="s">
        <v>3140</v>
      </c>
      <c r="BU28" s="3256"/>
    </row>
    <row r="29" spans="1:73">
      <c r="A29" s="3259" t="s">
        <v>3493</v>
      </c>
      <c r="B29" s="3259" t="s">
        <v>3489</v>
      </c>
      <c r="C29" s="3268" t="s">
        <v>3492</v>
      </c>
      <c r="D29" s="3268" t="s">
        <v>3462</v>
      </c>
      <c r="E29" s="3259" t="s">
        <v>3135</v>
      </c>
      <c r="F29" s="3275" t="s">
        <v>3188</v>
      </c>
      <c r="G29" s="3259"/>
      <c r="H29" s="3259" t="s">
        <v>3228</v>
      </c>
      <c r="I29" s="3259" t="s">
        <v>3491</v>
      </c>
      <c r="J29" s="3268" t="s">
        <v>3490</v>
      </c>
      <c r="K29" s="3259" t="s">
        <v>3489</v>
      </c>
      <c r="L29" s="3333">
        <v>64.19</v>
      </c>
      <c r="M29" s="3259">
        <v>3</v>
      </c>
      <c r="N29" s="3276" t="s">
        <v>3450</v>
      </c>
      <c r="O29" s="3259" t="s">
        <v>2977</v>
      </c>
      <c r="P29" s="3259" t="s">
        <v>2972</v>
      </c>
      <c r="Q29" s="3274">
        <v>247645</v>
      </c>
      <c r="R29" s="3273">
        <v>3858</v>
      </c>
      <c r="S29" s="3270">
        <v>28.88</v>
      </c>
      <c r="T29" s="3272">
        <v>288800</v>
      </c>
      <c r="U29" s="3259">
        <v>4500</v>
      </c>
      <c r="V29" s="3271">
        <v>0.2</v>
      </c>
      <c r="W29" s="3270">
        <v>23.1</v>
      </c>
      <c r="X29" s="3269">
        <v>231000</v>
      </c>
      <c r="Y29" s="3258">
        <v>2009</v>
      </c>
      <c r="Z29" s="3258">
        <v>2</v>
      </c>
      <c r="AA29" s="3258">
        <v>10</v>
      </c>
      <c r="AB29" s="3259">
        <v>865</v>
      </c>
      <c r="AC29" s="3259" t="s">
        <v>3140</v>
      </c>
      <c r="AD29" s="3332">
        <v>91162008120131</v>
      </c>
      <c r="AE29" s="3258" t="s">
        <v>3147</v>
      </c>
      <c r="AF29" s="3259" t="s">
        <v>2975</v>
      </c>
      <c r="AG29" s="3265" t="s">
        <v>2976</v>
      </c>
      <c r="AH29" s="3259" t="s">
        <v>2977</v>
      </c>
      <c r="AI29" s="3259" t="s">
        <v>3128</v>
      </c>
      <c r="AJ29" s="3267"/>
      <c r="AK29" s="3266">
        <v>2</v>
      </c>
      <c r="AL29" s="3258">
        <v>28</v>
      </c>
      <c r="AM29" s="3259" t="s">
        <v>3488</v>
      </c>
      <c r="AN29" s="3258" t="s">
        <v>3234</v>
      </c>
      <c r="AO29" s="3258"/>
      <c r="AP29" s="3258" t="s">
        <v>3258</v>
      </c>
      <c r="AQ29" s="3265" t="s">
        <v>3125</v>
      </c>
      <c r="AR29" s="3258"/>
      <c r="AS29" s="3258"/>
      <c r="AT29" s="3258"/>
      <c r="AU29" s="3258"/>
      <c r="AV29" s="3258"/>
      <c r="AW29" s="3258" t="s">
        <v>3448</v>
      </c>
      <c r="AX29" s="3258"/>
      <c r="AY29" s="3264"/>
      <c r="AZ29" s="3259" t="s">
        <v>3487</v>
      </c>
      <c r="BA29" s="3258"/>
      <c r="BB29" s="3264"/>
      <c r="BC29" s="3258"/>
      <c r="BD29" s="3263"/>
      <c r="BE29" s="3258">
        <v>60712233</v>
      </c>
      <c r="BF29" s="3262"/>
      <c r="BG29" s="3261">
        <v>39731</v>
      </c>
      <c r="BH29" s="3258"/>
      <c r="BI29" s="3258" t="s">
        <v>3258</v>
      </c>
      <c r="BJ29" s="3260">
        <v>39813</v>
      </c>
      <c r="BK29" s="3260"/>
      <c r="BL29" s="3259" t="s">
        <v>3007</v>
      </c>
      <c r="BM29" s="3258" t="s">
        <v>3170</v>
      </c>
      <c r="BN29" s="3258" t="s">
        <v>3008</v>
      </c>
      <c r="BO29" s="3258" t="s">
        <v>3009</v>
      </c>
      <c r="BP29" s="3258"/>
      <c r="BQ29" s="3258" t="e">
        <v>#VALUE!</v>
      </c>
      <c r="BR29" s="3258" t="e">
        <v>#VALUE!</v>
      </c>
      <c r="BS29" s="3257" t="s">
        <v>3258</v>
      </c>
      <c r="BT29" s="3257" t="s">
        <v>3140</v>
      </c>
      <c r="BU29" s="3256"/>
    </row>
    <row r="30" spans="1:73">
      <c r="A30" s="3259" t="s">
        <v>3486</v>
      </c>
      <c r="B30" s="3259" t="s">
        <v>3482</v>
      </c>
      <c r="C30" s="3268" t="s">
        <v>3485</v>
      </c>
      <c r="D30" s="3268" t="s">
        <v>3462</v>
      </c>
      <c r="E30" s="3259" t="s">
        <v>3135</v>
      </c>
      <c r="F30" s="3275" t="s">
        <v>3188</v>
      </c>
      <c r="G30" s="3259"/>
      <c r="H30" s="3259" t="s">
        <v>3187</v>
      </c>
      <c r="I30" s="3259" t="s">
        <v>3484</v>
      </c>
      <c r="J30" s="3268" t="s">
        <v>3483</v>
      </c>
      <c r="K30" s="3259" t="s">
        <v>3482</v>
      </c>
      <c r="L30" s="3333">
        <v>64.19</v>
      </c>
      <c r="M30" s="3259">
        <v>2</v>
      </c>
      <c r="N30" s="3276" t="s">
        <v>3450</v>
      </c>
      <c r="O30" s="3259" t="s">
        <v>2977</v>
      </c>
      <c r="P30" s="3259" t="s">
        <v>2972</v>
      </c>
      <c r="Q30" s="3274">
        <v>242783</v>
      </c>
      <c r="R30" s="3273">
        <v>3782</v>
      </c>
      <c r="S30" s="3270">
        <v>28.3</v>
      </c>
      <c r="T30" s="3272">
        <v>283000</v>
      </c>
      <c r="U30" s="3259">
        <v>4410</v>
      </c>
      <c r="V30" s="3271">
        <v>0.2</v>
      </c>
      <c r="W30" s="3270">
        <v>22.64</v>
      </c>
      <c r="X30" s="3269">
        <v>226400</v>
      </c>
      <c r="Y30" s="3258">
        <v>2009</v>
      </c>
      <c r="Z30" s="3258">
        <v>2</v>
      </c>
      <c r="AA30" s="3258">
        <v>10</v>
      </c>
      <c r="AB30" s="3259">
        <v>845</v>
      </c>
      <c r="AC30" s="3259" t="s">
        <v>3140</v>
      </c>
      <c r="AD30" s="3332">
        <v>91162008120132</v>
      </c>
      <c r="AE30" s="3258" t="s">
        <v>3147</v>
      </c>
      <c r="AF30" s="3259" t="s">
        <v>2975</v>
      </c>
      <c r="AG30" s="3265" t="s">
        <v>2976</v>
      </c>
      <c r="AH30" s="3259" t="s">
        <v>2977</v>
      </c>
      <c r="AI30" s="3259" t="s">
        <v>3128</v>
      </c>
      <c r="AJ30" s="3267"/>
      <c r="AK30" s="3266">
        <v>2</v>
      </c>
      <c r="AL30" s="3258">
        <v>28</v>
      </c>
      <c r="AM30" s="3259" t="s">
        <v>3481</v>
      </c>
      <c r="AN30" s="3258" t="s">
        <v>3234</v>
      </c>
      <c r="AO30" s="3258"/>
      <c r="AP30" s="3258" t="s">
        <v>3258</v>
      </c>
      <c r="AQ30" s="3265" t="s">
        <v>3125</v>
      </c>
      <c r="AR30" s="3258"/>
      <c r="AS30" s="3258"/>
      <c r="AT30" s="3258"/>
      <c r="AU30" s="3258"/>
      <c r="AV30" s="3258"/>
      <c r="AW30" s="3258" t="s">
        <v>3448</v>
      </c>
      <c r="AX30" s="3258"/>
      <c r="AY30" s="3264"/>
      <c r="AZ30" s="3259" t="s">
        <v>3480</v>
      </c>
      <c r="BA30" s="3258"/>
      <c r="BB30" s="3264"/>
      <c r="BC30" s="3258"/>
      <c r="BD30" s="3263"/>
      <c r="BE30" s="3258">
        <v>60712233</v>
      </c>
      <c r="BF30" s="3262"/>
      <c r="BG30" s="3261">
        <v>39731</v>
      </c>
      <c r="BH30" s="3258"/>
      <c r="BI30" s="3258" t="s">
        <v>3258</v>
      </c>
      <c r="BJ30" s="3260">
        <v>39812</v>
      </c>
      <c r="BK30" s="3260"/>
      <c r="BL30" s="3259" t="s">
        <v>3007</v>
      </c>
      <c r="BM30" s="3258" t="s">
        <v>3170</v>
      </c>
      <c r="BN30" s="3258" t="s">
        <v>3008</v>
      </c>
      <c r="BO30" s="3258" t="s">
        <v>3009</v>
      </c>
      <c r="BP30" s="3258"/>
      <c r="BQ30" s="3258" t="e">
        <v>#VALUE!</v>
      </c>
      <c r="BR30" s="3258" t="e">
        <v>#VALUE!</v>
      </c>
      <c r="BS30" s="3257" t="s">
        <v>3258</v>
      </c>
      <c r="BT30" s="3257" t="s">
        <v>3140</v>
      </c>
      <c r="BU30" s="3256"/>
    </row>
    <row r="31" spans="1:73">
      <c r="A31" s="3259" t="s">
        <v>3479</v>
      </c>
      <c r="B31" s="3259" t="s">
        <v>3474</v>
      </c>
      <c r="C31" s="3268" t="s">
        <v>3478</v>
      </c>
      <c r="D31" s="3268" t="s">
        <v>3477</v>
      </c>
      <c r="E31" s="3259" t="s">
        <v>3135</v>
      </c>
      <c r="F31" s="3275" t="s">
        <v>3188</v>
      </c>
      <c r="G31" s="3259"/>
      <c r="H31" s="3259" t="s">
        <v>3187</v>
      </c>
      <c r="I31" s="3259" t="s">
        <v>3476</v>
      </c>
      <c r="J31" s="3268" t="s">
        <v>3475</v>
      </c>
      <c r="K31" s="3259" t="s">
        <v>3474</v>
      </c>
      <c r="L31" s="3333">
        <v>55.09</v>
      </c>
      <c r="M31" s="3259">
        <v>4</v>
      </c>
      <c r="N31" s="3276" t="s">
        <v>3450</v>
      </c>
      <c r="O31" s="3259" t="s">
        <v>2977</v>
      </c>
      <c r="P31" s="3259" t="s">
        <v>2972</v>
      </c>
      <c r="Q31" s="3274">
        <v>209934</v>
      </c>
      <c r="R31" s="3273">
        <v>3811</v>
      </c>
      <c r="S31" s="3270">
        <v>24.79</v>
      </c>
      <c r="T31" s="3272">
        <v>247900</v>
      </c>
      <c r="U31" s="3259">
        <v>4500</v>
      </c>
      <c r="V31" s="3271">
        <v>0.2</v>
      </c>
      <c r="W31" s="3270">
        <v>19.829999999999998</v>
      </c>
      <c r="X31" s="3269">
        <v>198299.99999999997</v>
      </c>
      <c r="Y31" s="3258">
        <v>2009</v>
      </c>
      <c r="Z31" s="3258">
        <v>2</v>
      </c>
      <c r="AA31" s="3258">
        <v>10</v>
      </c>
      <c r="AB31" s="3259">
        <v>740</v>
      </c>
      <c r="AC31" s="3259" t="s">
        <v>3140</v>
      </c>
      <c r="AD31" s="3332">
        <v>91162008120135</v>
      </c>
      <c r="AE31" s="3258" t="s">
        <v>3147</v>
      </c>
      <c r="AF31" s="3259" t="s">
        <v>2975</v>
      </c>
      <c r="AG31" s="3265" t="s">
        <v>2976</v>
      </c>
      <c r="AH31" s="3259" t="s">
        <v>2977</v>
      </c>
      <c r="AI31" s="3259" t="s">
        <v>3128</v>
      </c>
      <c r="AJ31" s="3267"/>
      <c r="AK31" s="3266">
        <v>2</v>
      </c>
      <c r="AL31" s="3258">
        <v>28</v>
      </c>
      <c r="AM31" s="3259" t="s">
        <v>3473</v>
      </c>
      <c r="AN31" s="3258" t="s">
        <v>3234</v>
      </c>
      <c r="AO31" s="3258"/>
      <c r="AP31" s="3258" t="s">
        <v>3258</v>
      </c>
      <c r="AQ31" s="3265" t="s">
        <v>3125</v>
      </c>
      <c r="AR31" s="3258"/>
      <c r="AS31" s="3258"/>
      <c r="AT31" s="3258"/>
      <c r="AU31" s="3258"/>
      <c r="AV31" s="3258"/>
      <c r="AW31" s="3258" t="s">
        <v>3448</v>
      </c>
      <c r="AX31" s="3258"/>
      <c r="AY31" s="3264"/>
      <c r="AZ31" s="3259" t="s">
        <v>3472</v>
      </c>
      <c r="BA31" s="3258"/>
      <c r="BB31" s="3264"/>
      <c r="BC31" s="3258"/>
      <c r="BD31" s="3263"/>
      <c r="BE31" s="3258">
        <v>60712233</v>
      </c>
      <c r="BF31" s="3262"/>
      <c r="BG31" s="3261">
        <v>39731</v>
      </c>
      <c r="BH31" s="3258"/>
      <c r="BI31" s="3258" t="s">
        <v>3258</v>
      </c>
      <c r="BJ31" s="3260">
        <v>39812</v>
      </c>
      <c r="BK31" s="3260"/>
      <c r="BL31" s="3259" t="s">
        <v>3007</v>
      </c>
      <c r="BM31" s="3258" t="s">
        <v>3170</v>
      </c>
      <c r="BN31" s="3258" t="s">
        <v>3008</v>
      </c>
      <c r="BO31" s="3258" t="s">
        <v>3009</v>
      </c>
      <c r="BP31" s="3258"/>
      <c r="BQ31" s="3258" t="e">
        <v>#VALUE!</v>
      </c>
      <c r="BR31" s="3258" t="e">
        <v>#VALUE!</v>
      </c>
      <c r="BS31" s="3257" t="s">
        <v>3258</v>
      </c>
      <c r="BT31" s="3257" t="s">
        <v>3140</v>
      </c>
      <c r="BU31" s="3256"/>
    </row>
    <row r="32" spans="1:73">
      <c r="A32" s="3259" t="s">
        <v>3471</v>
      </c>
      <c r="B32" s="3259" t="s">
        <v>3467</v>
      </c>
      <c r="C32" s="3268" t="s">
        <v>3470</v>
      </c>
      <c r="D32" s="3268" t="s">
        <v>3469</v>
      </c>
      <c r="E32" s="3259" t="s">
        <v>3135</v>
      </c>
      <c r="F32" s="3275" t="s">
        <v>3188</v>
      </c>
      <c r="G32" s="3259"/>
      <c r="H32" s="3259" t="s">
        <v>3187</v>
      </c>
      <c r="I32" s="3259" t="s">
        <v>3461</v>
      </c>
      <c r="J32" s="3268" t="s">
        <v>3468</v>
      </c>
      <c r="K32" s="3259" t="s">
        <v>3467</v>
      </c>
      <c r="L32" s="3333">
        <v>64.19</v>
      </c>
      <c r="M32" s="3259">
        <v>4</v>
      </c>
      <c r="N32" s="3276" t="s">
        <v>3450</v>
      </c>
      <c r="O32" s="3259" t="s">
        <v>2977</v>
      </c>
      <c r="P32" s="3259" t="s">
        <v>2972</v>
      </c>
      <c r="Q32" s="3274">
        <v>242783</v>
      </c>
      <c r="R32" s="3273">
        <v>3782</v>
      </c>
      <c r="S32" s="3270">
        <v>28.88</v>
      </c>
      <c r="T32" s="3272">
        <v>288800</v>
      </c>
      <c r="U32" s="3259">
        <v>4500</v>
      </c>
      <c r="V32" s="3271">
        <v>0.2</v>
      </c>
      <c r="W32" s="3270">
        <v>23.1</v>
      </c>
      <c r="X32" s="3269">
        <v>231000</v>
      </c>
      <c r="Y32" s="3258">
        <v>2009</v>
      </c>
      <c r="Z32" s="3258">
        <v>2</v>
      </c>
      <c r="AA32" s="3258">
        <v>10</v>
      </c>
      <c r="AB32" s="3259">
        <v>865</v>
      </c>
      <c r="AC32" s="3259" t="s">
        <v>3140</v>
      </c>
      <c r="AD32" s="3332">
        <v>91162008120133</v>
      </c>
      <c r="AE32" s="3258" t="s">
        <v>3147</v>
      </c>
      <c r="AF32" s="3259" t="s">
        <v>2975</v>
      </c>
      <c r="AG32" s="3265" t="s">
        <v>2976</v>
      </c>
      <c r="AH32" s="3259" t="s">
        <v>2977</v>
      </c>
      <c r="AI32" s="3259" t="s">
        <v>3128</v>
      </c>
      <c r="AJ32" s="3267"/>
      <c r="AK32" s="3266">
        <v>2</v>
      </c>
      <c r="AL32" s="3258">
        <v>28</v>
      </c>
      <c r="AM32" s="3259" t="s">
        <v>3466</v>
      </c>
      <c r="AN32" s="3258" t="s">
        <v>3234</v>
      </c>
      <c r="AO32" s="3258"/>
      <c r="AP32" s="3258" t="s">
        <v>3258</v>
      </c>
      <c r="AQ32" s="3265" t="s">
        <v>3125</v>
      </c>
      <c r="AR32" s="3258"/>
      <c r="AS32" s="3258"/>
      <c r="AT32" s="3258"/>
      <c r="AU32" s="3258"/>
      <c r="AV32" s="3258"/>
      <c r="AW32" s="3258" t="s">
        <v>3448</v>
      </c>
      <c r="AX32" s="3258"/>
      <c r="AY32" s="3264"/>
      <c r="AZ32" s="3259" t="s">
        <v>3465</v>
      </c>
      <c r="BA32" s="3258"/>
      <c r="BB32" s="3264"/>
      <c r="BC32" s="3258"/>
      <c r="BD32" s="3263"/>
      <c r="BE32" s="3258">
        <v>60712233</v>
      </c>
      <c r="BF32" s="3262"/>
      <c r="BG32" s="3261">
        <v>39731</v>
      </c>
      <c r="BH32" s="3258"/>
      <c r="BI32" s="3258" t="s">
        <v>3258</v>
      </c>
      <c r="BJ32" s="3260">
        <v>39812</v>
      </c>
      <c r="BK32" s="3260"/>
      <c r="BL32" s="3259" t="s">
        <v>3007</v>
      </c>
      <c r="BM32" s="3258" t="s">
        <v>3170</v>
      </c>
      <c r="BN32" s="3258" t="s">
        <v>3008</v>
      </c>
      <c r="BO32" s="3258" t="s">
        <v>3009</v>
      </c>
      <c r="BP32" s="3258"/>
      <c r="BQ32" s="3258" t="e">
        <v>#VALUE!</v>
      </c>
      <c r="BR32" s="3258" t="e">
        <v>#VALUE!</v>
      </c>
      <c r="BS32" s="3257" t="s">
        <v>3258</v>
      </c>
      <c r="BT32" s="3257" t="s">
        <v>3140</v>
      </c>
      <c r="BU32" s="3256"/>
    </row>
    <row r="33" spans="1:74">
      <c r="A33" s="3259" t="s">
        <v>3464</v>
      </c>
      <c r="B33" s="3259" t="s">
        <v>3459</v>
      </c>
      <c r="C33" s="3268" t="s">
        <v>3463</v>
      </c>
      <c r="D33" s="3268" t="s">
        <v>3462</v>
      </c>
      <c r="E33" s="3259" t="s">
        <v>3135</v>
      </c>
      <c r="F33" s="3275" t="s">
        <v>3188</v>
      </c>
      <c r="G33" s="3259"/>
      <c r="H33" s="3259" t="s">
        <v>3187</v>
      </c>
      <c r="I33" s="3259" t="s">
        <v>3461</v>
      </c>
      <c r="J33" s="3268" t="s">
        <v>3460</v>
      </c>
      <c r="K33" s="3259" t="s">
        <v>3459</v>
      </c>
      <c r="L33" s="3333">
        <v>64.19</v>
      </c>
      <c r="M33" s="3259">
        <v>4</v>
      </c>
      <c r="N33" s="3276" t="s">
        <v>3450</v>
      </c>
      <c r="O33" s="3259" t="s">
        <v>2977</v>
      </c>
      <c r="P33" s="3259" t="s">
        <v>2972</v>
      </c>
      <c r="Q33" s="3274">
        <v>242783</v>
      </c>
      <c r="R33" s="3273">
        <v>3782</v>
      </c>
      <c r="S33" s="3270">
        <v>28.88</v>
      </c>
      <c r="T33" s="3272">
        <v>288800</v>
      </c>
      <c r="U33" s="3259">
        <v>4500</v>
      </c>
      <c r="V33" s="3271">
        <v>0.2</v>
      </c>
      <c r="W33" s="3270">
        <v>23.1</v>
      </c>
      <c r="X33" s="3269">
        <v>231000</v>
      </c>
      <c r="Y33" s="3258">
        <v>2009</v>
      </c>
      <c r="Z33" s="3258">
        <v>2</v>
      </c>
      <c r="AA33" s="3258">
        <v>10</v>
      </c>
      <c r="AB33" s="3259">
        <v>865</v>
      </c>
      <c r="AC33" s="3259" t="s">
        <v>3140</v>
      </c>
      <c r="AD33" s="3332">
        <v>91162008120128</v>
      </c>
      <c r="AE33" s="3258" t="s">
        <v>3147</v>
      </c>
      <c r="AF33" s="3259" t="s">
        <v>2975</v>
      </c>
      <c r="AG33" s="3265" t="s">
        <v>2976</v>
      </c>
      <c r="AH33" s="3259" t="s">
        <v>2977</v>
      </c>
      <c r="AI33" s="3259" t="s">
        <v>3128</v>
      </c>
      <c r="AJ33" s="3267"/>
      <c r="AK33" s="3266">
        <v>2</v>
      </c>
      <c r="AL33" s="3258">
        <v>28</v>
      </c>
      <c r="AM33" s="3259" t="s">
        <v>3458</v>
      </c>
      <c r="AN33" s="3258" t="s">
        <v>3234</v>
      </c>
      <c r="AO33" s="3258"/>
      <c r="AP33" s="3258" t="s">
        <v>3258</v>
      </c>
      <c r="AQ33" s="3265" t="s">
        <v>3125</v>
      </c>
      <c r="AR33" s="3258"/>
      <c r="AS33" s="3258"/>
      <c r="AT33" s="3258"/>
      <c r="AU33" s="3258"/>
      <c r="AV33" s="3258"/>
      <c r="AW33" s="3258" t="s">
        <v>3448</v>
      </c>
      <c r="AX33" s="3258"/>
      <c r="AY33" s="3264"/>
      <c r="AZ33" s="3259" t="s">
        <v>3457</v>
      </c>
      <c r="BA33" s="3258"/>
      <c r="BB33" s="3264"/>
      <c r="BC33" s="3258"/>
      <c r="BD33" s="3263"/>
      <c r="BE33" s="3258">
        <v>60712233</v>
      </c>
      <c r="BF33" s="3262"/>
      <c r="BG33" s="3261">
        <v>39731</v>
      </c>
      <c r="BH33" s="3258"/>
      <c r="BI33" s="3258" t="s">
        <v>3258</v>
      </c>
      <c r="BJ33" s="3260">
        <v>39813</v>
      </c>
      <c r="BK33" s="3260"/>
      <c r="BL33" s="3259" t="s">
        <v>3007</v>
      </c>
      <c r="BM33" s="3258" t="s">
        <v>3170</v>
      </c>
      <c r="BN33" s="3258" t="s">
        <v>3008</v>
      </c>
      <c r="BO33" s="3258" t="s">
        <v>3009</v>
      </c>
      <c r="BP33" s="3258"/>
      <c r="BQ33" s="3258" t="e">
        <v>#VALUE!</v>
      </c>
      <c r="BR33" s="3258" t="e">
        <v>#VALUE!</v>
      </c>
      <c r="BS33" s="3257" t="s">
        <v>3258</v>
      </c>
      <c r="BT33" s="3257" t="s">
        <v>3140</v>
      </c>
      <c r="BU33" s="3256"/>
      <c r="BV33" s="3256"/>
    </row>
    <row r="34" spans="1:74" s="3425" customFormat="1">
      <c r="A34" s="3402" t="s">
        <v>3456</v>
      </c>
      <c r="B34" s="3402" t="s">
        <v>3451</v>
      </c>
      <c r="C34" s="3403" t="s">
        <v>3455</v>
      </c>
      <c r="D34" s="3403" t="s">
        <v>3454</v>
      </c>
      <c r="E34" s="3402" t="s">
        <v>3135</v>
      </c>
      <c r="F34" s="3404" t="s">
        <v>3154</v>
      </c>
      <c r="G34" s="3402"/>
      <c r="H34" s="3402" t="s">
        <v>3133</v>
      </c>
      <c r="I34" s="3402" t="s">
        <v>3453</v>
      </c>
      <c r="J34" s="3403" t="s">
        <v>3452</v>
      </c>
      <c r="K34" s="3402" t="s">
        <v>3451</v>
      </c>
      <c r="L34" s="3405">
        <v>55.11</v>
      </c>
      <c r="M34" s="3402">
        <v>2</v>
      </c>
      <c r="N34" s="3406" t="s">
        <v>3450</v>
      </c>
      <c r="O34" s="3402" t="s">
        <v>2977</v>
      </c>
      <c r="P34" s="3402" t="s">
        <v>2972</v>
      </c>
      <c r="Q34" s="3407">
        <v>350000</v>
      </c>
      <c r="R34" s="3408">
        <v>6351</v>
      </c>
      <c r="S34" s="3409">
        <v>30.31</v>
      </c>
      <c r="T34" s="3410">
        <v>303100</v>
      </c>
      <c r="U34" s="3402">
        <v>5500</v>
      </c>
      <c r="V34" s="3411">
        <v>0.2</v>
      </c>
      <c r="W34" s="3409">
        <v>24.24</v>
      </c>
      <c r="X34" s="3412">
        <v>242399.99999999997</v>
      </c>
      <c r="Y34" s="3413">
        <v>2009</v>
      </c>
      <c r="Z34" s="3413">
        <v>2</v>
      </c>
      <c r="AA34" s="3413">
        <v>10</v>
      </c>
      <c r="AB34" s="3402">
        <v>905</v>
      </c>
      <c r="AC34" s="3402" t="s">
        <v>3140</v>
      </c>
      <c r="AD34" s="3414">
        <v>91162009010087</v>
      </c>
      <c r="AE34" s="3413" t="s">
        <v>3147</v>
      </c>
      <c r="AF34" s="3402" t="s">
        <v>2975</v>
      </c>
      <c r="AG34" s="3415" t="s">
        <v>2976</v>
      </c>
      <c r="AH34" s="3402" t="s">
        <v>2977</v>
      </c>
      <c r="AI34" s="3402" t="s">
        <v>3128</v>
      </c>
      <c r="AJ34" s="3416"/>
      <c r="AK34" s="3417">
        <v>2</v>
      </c>
      <c r="AL34" s="3413">
        <v>33</v>
      </c>
      <c r="AM34" s="3402" t="s">
        <v>3449</v>
      </c>
      <c r="AN34" s="3413" t="s">
        <v>3234</v>
      </c>
      <c r="AO34" s="3413"/>
      <c r="AP34" s="3413" t="s">
        <v>3258</v>
      </c>
      <c r="AQ34" s="3415" t="s">
        <v>3125</v>
      </c>
      <c r="AR34" s="3413"/>
      <c r="AS34" s="3413"/>
      <c r="AT34" s="3413"/>
      <c r="AU34" s="3413"/>
      <c r="AV34" s="3413"/>
      <c r="AW34" s="3413" t="s">
        <v>3448</v>
      </c>
      <c r="AX34" s="3413"/>
      <c r="AY34" s="3418"/>
      <c r="AZ34" s="3402" t="s">
        <v>3447</v>
      </c>
      <c r="BA34" s="3413"/>
      <c r="BB34" s="3418"/>
      <c r="BC34" s="3413"/>
      <c r="BD34" s="3419"/>
      <c r="BE34" s="3413">
        <v>13661301586</v>
      </c>
      <c r="BF34" s="3420"/>
      <c r="BG34" s="3421">
        <v>39828</v>
      </c>
      <c r="BH34" s="3413"/>
      <c r="BI34" s="3413" t="s">
        <v>3258</v>
      </c>
      <c r="BJ34" s="3422">
        <v>39829</v>
      </c>
      <c r="BK34" s="3422"/>
      <c r="BL34" s="3402" t="s">
        <v>3007</v>
      </c>
      <c r="BM34" s="3413" t="s">
        <v>2881</v>
      </c>
      <c r="BN34" s="3413" t="s">
        <v>3008</v>
      </c>
      <c r="BO34" s="3413" t="s">
        <v>3009</v>
      </c>
      <c r="BP34" s="3413"/>
      <c r="BQ34" s="3413" t="e">
        <v>#VALUE!</v>
      </c>
      <c r="BR34" s="3413" t="e">
        <v>#VALUE!</v>
      </c>
      <c r="BS34" s="3423" t="s">
        <v>3258</v>
      </c>
      <c r="BT34" s="3423" t="s">
        <v>3140</v>
      </c>
      <c r="BU34" s="3424"/>
      <c r="BV34" s="3424"/>
    </row>
    <row r="35" spans="1:74">
      <c r="A35" s="3259" t="s">
        <v>3446</v>
      </c>
      <c r="B35" s="3259" t="s">
        <v>3441</v>
      </c>
      <c r="C35" s="3268" t="s">
        <v>3445</v>
      </c>
      <c r="D35" s="3268" t="s">
        <v>3444</v>
      </c>
      <c r="E35" s="3259" t="s">
        <v>3135</v>
      </c>
      <c r="F35" s="3275" t="s">
        <v>3211</v>
      </c>
      <c r="G35" s="3259"/>
      <c r="H35" s="3259" t="s">
        <v>3443</v>
      </c>
      <c r="I35" s="3259" t="s">
        <v>3442</v>
      </c>
      <c r="J35" s="3268" t="s">
        <v>3246</v>
      </c>
      <c r="K35" s="3259" t="s">
        <v>3441</v>
      </c>
      <c r="L35" s="3259">
        <v>122.03</v>
      </c>
      <c r="M35" s="3259">
        <v>4</v>
      </c>
      <c r="N35" s="3259" t="s">
        <v>3107</v>
      </c>
      <c r="O35" s="3259"/>
      <c r="P35" s="3259" t="s">
        <v>2972</v>
      </c>
      <c r="Q35" s="3274">
        <v>550000</v>
      </c>
      <c r="R35" s="3273">
        <v>4507</v>
      </c>
      <c r="S35" s="3270">
        <v>64.06</v>
      </c>
      <c r="T35" s="3272">
        <v>640600</v>
      </c>
      <c r="U35" s="3259">
        <v>5250</v>
      </c>
      <c r="V35" s="3271">
        <v>0.2</v>
      </c>
      <c r="W35" s="3270">
        <v>51.24</v>
      </c>
      <c r="X35" s="3269">
        <v>512400</v>
      </c>
      <c r="Y35" s="3258">
        <v>2009</v>
      </c>
      <c r="Z35" s="3258">
        <v>3</v>
      </c>
      <c r="AA35" s="3258">
        <v>4</v>
      </c>
      <c r="AB35" s="3259">
        <v>1500</v>
      </c>
      <c r="AC35" s="3259" t="s">
        <v>3140</v>
      </c>
      <c r="AD35" s="3259">
        <v>91162009020111</v>
      </c>
      <c r="AE35" s="3258" t="s">
        <v>3147</v>
      </c>
      <c r="AF35" s="3259" t="s">
        <v>2975</v>
      </c>
      <c r="AG35" s="3265" t="s">
        <v>2976</v>
      </c>
      <c r="AH35" s="3259"/>
      <c r="AI35" s="3265" t="s">
        <v>3128</v>
      </c>
      <c r="AJ35" s="3267"/>
      <c r="AK35" s="3259" t="s">
        <v>3126</v>
      </c>
      <c r="AL35" s="3258">
        <v>40</v>
      </c>
      <c r="AM35" s="3258" t="s">
        <v>3440</v>
      </c>
      <c r="AN35" s="3258" t="s">
        <v>3193</v>
      </c>
      <c r="AO35" s="3258"/>
      <c r="AP35" s="3265" t="s">
        <v>3258</v>
      </c>
      <c r="AQ35" s="3259" t="s">
        <v>3125</v>
      </c>
      <c r="AR35" s="3258"/>
      <c r="AS35" s="3258"/>
      <c r="AT35" s="3258"/>
      <c r="AU35" s="3258"/>
      <c r="AV35" s="3258"/>
      <c r="AW35" s="3258" t="s">
        <v>3144</v>
      </c>
      <c r="AX35" s="3258"/>
      <c r="AY35" s="3264"/>
      <c r="AZ35" s="3258" t="s">
        <v>3439</v>
      </c>
      <c r="BA35" s="3258"/>
      <c r="BB35" s="3264"/>
      <c r="BC35" s="3258"/>
      <c r="BD35" s="3263"/>
      <c r="BE35" s="3258">
        <v>13501013668</v>
      </c>
      <c r="BF35" s="3262"/>
      <c r="BG35" s="3261">
        <v>39861</v>
      </c>
      <c r="BH35" s="3258"/>
      <c r="BI35" s="3259" t="s">
        <v>3258</v>
      </c>
      <c r="BJ35" s="3260">
        <v>39861</v>
      </c>
      <c r="BK35" s="3260"/>
      <c r="BL35" s="3259" t="s">
        <v>3007</v>
      </c>
      <c r="BM35" s="3258" t="s">
        <v>3170</v>
      </c>
      <c r="BN35" s="3258" t="s">
        <v>3122</v>
      </c>
      <c r="BO35" s="3258" t="s">
        <v>3259</v>
      </c>
      <c r="BP35" s="3258"/>
      <c r="BQ35" s="3258" t="e">
        <v>#DIV/0!</v>
      </c>
      <c r="BR35" s="3258" t="e">
        <v>#DIV/0!</v>
      </c>
      <c r="BS35" s="3257" t="s">
        <v>3258</v>
      </c>
      <c r="BT35" s="3257" t="s">
        <v>3140</v>
      </c>
      <c r="BU35" s="3256"/>
      <c r="BV35" s="3255"/>
    </row>
    <row r="36" spans="1:74" s="3425" customFormat="1">
      <c r="A36" s="3402" t="s">
        <v>3438</v>
      </c>
      <c r="B36" s="3402" t="s">
        <v>3434</v>
      </c>
      <c r="C36" s="3403" t="s">
        <v>3437</v>
      </c>
      <c r="D36" s="3403" t="s">
        <v>3436</v>
      </c>
      <c r="E36" s="3402" t="s">
        <v>3135</v>
      </c>
      <c r="F36" s="3404" t="s">
        <v>3134</v>
      </c>
      <c r="G36" s="3402"/>
      <c r="H36" s="3402" t="s">
        <v>3228</v>
      </c>
      <c r="I36" s="3402" t="s">
        <v>3435</v>
      </c>
      <c r="J36" s="3403" t="s">
        <v>3300</v>
      </c>
      <c r="K36" s="3402" t="s">
        <v>3434</v>
      </c>
      <c r="L36" s="3402">
        <v>60.62</v>
      </c>
      <c r="M36" s="3402">
        <v>4</v>
      </c>
      <c r="N36" s="3402" t="s">
        <v>3149</v>
      </c>
      <c r="O36" s="3402"/>
      <c r="P36" s="3402" t="s">
        <v>2972</v>
      </c>
      <c r="Q36" s="3407">
        <v>390000</v>
      </c>
      <c r="R36" s="3408">
        <v>6434</v>
      </c>
      <c r="S36" s="3409">
        <v>35.46</v>
      </c>
      <c r="T36" s="3410">
        <v>354600</v>
      </c>
      <c r="U36" s="3402">
        <v>5850</v>
      </c>
      <c r="V36" s="3411">
        <v>0.2</v>
      </c>
      <c r="W36" s="3409">
        <v>28.36</v>
      </c>
      <c r="X36" s="3412">
        <v>283600</v>
      </c>
      <c r="Y36" s="3413">
        <v>2009</v>
      </c>
      <c r="Z36" s="3413">
        <v>3</v>
      </c>
      <c r="AA36" s="3413">
        <v>4</v>
      </c>
      <c r="AB36" s="3402">
        <v>1060</v>
      </c>
      <c r="AC36" s="3402" t="s">
        <v>3140</v>
      </c>
      <c r="AD36" s="3402">
        <v>91162009020138</v>
      </c>
      <c r="AE36" s="3413" t="s">
        <v>3147</v>
      </c>
      <c r="AF36" s="3402" t="s">
        <v>2975</v>
      </c>
      <c r="AG36" s="3415" t="s">
        <v>2976</v>
      </c>
      <c r="AH36" s="3402"/>
      <c r="AI36" s="3415" t="s">
        <v>3128</v>
      </c>
      <c r="AJ36" s="3416"/>
      <c r="AK36" s="3402" t="s">
        <v>3126</v>
      </c>
      <c r="AL36" s="3413">
        <v>31</v>
      </c>
      <c r="AM36" s="3413" t="s">
        <v>3433</v>
      </c>
      <c r="AN36" s="3413" t="s">
        <v>3193</v>
      </c>
      <c r="AO36" s="3413"/>
      <c r="AP36" s="3415" t="s">
        <v>3258</v>
      </c>
      <c r="AQ36" s="3402" t="s">
        <v>3125</v>
      </c>
      <c r="AR36" s="3413"/>
      <c r="AS36" s="3413"/>
      <c r="AT36" s="3413"/>
      <c r="AU36" s="3413"/>
      <c r="AV36" s="3413"/>
      <c r="AW36" s="3413" t="s">
        <v>3144</v>
      </c>
      <c r="AX36" s="3413"/>
      <c r="AY36" s="3418"/>
      <c r="AZ36" s="3413" t="s">
        <v>3432</v>
      </c>
      <c r="BA36" s="3413"/>
      <c r="BB36" s="3418"/>
      <c r="BC36" s="3413"/>
      <c r="BD36" s="3419"/>
      <c r="BE36" s="3413">
        <v>13718090767</v>
      </c>
      <c r="BF36" s="3420"/>
      <c r="BG36" s="3421">
        <v>39862</v>
      </c>
      <c r="BH36" s="3413"/>
      <c r="BI36" s="3402" t="s">
        <v>3258</v>
      </c>
      <c r="BJ36" s="3422">
        <v>39863</v>
      </c>
      <c r="BK36" s="3422"/>
      <c r="BL36" s="3402" t="s">
        <v>3007</v>
      </c>
      <c r="BM36" s="3413" t="s">
        <v>3008</v>
      </c>
      <c r="BN36" s="3413" t="s">
        <v>3122</v>
      </c>
      <c r="BO36" s="3413" t="s">
        <v>3259</v>
      </c>
      <c r="BP36" s="3413"/>
      <c r="BQ36" s="3413" t="e">
        <v>#DIV/0!</v>
      </c>
      <c r="BR36" s="3413" t="e">
        <v>#DIV/0!</v>
      </c>
      <c r="BS36" s="3423" t="s">
        <v>3258</v>
      </c>
      <c r="BT36" s="3423" t="s">
        <v>3140</v>
      </c>
      <c r="BU36" s="3424"/>
      <c r="BV36" s="3426"/>
    </row>
    <row r="37" spans="1:74" s="3282" customFormat="1">
      <c r="A37" s="3286" t="s">
        <v>3431</v>
      </c>
      <c r="B37" s="3286" t="s">
        <v>3426</v>
      </c>
      <c r="C37" s="3295" t="s">
        <v>3430</v>
      </c>
      <c r="D37" s="3295" t="s">
        <v>3429</v>
      </c>
      <c r="E37" s="3286" t="s">
        <v>3135</v>
      </c>
      <c r="F37" s="3302" t="s">
        <v>3134</v>
      </c>
      <c r="G37" s="3286"/>
      <c r="H37" s="3286" t="s">
        <v>3353</v>
      </c>
      <c r="I37" s="3286" t="s">
        <v>3428</v>
      </c>
      <c r="J37" s="3295" t="s">
        <v>3427</v>
      </c>
      <c r="K37" s="3286" t="s">
        <v>3426</v>
      </c>
      <c r="L37" s="3286">
        <v>54.22</v>
      </c>
      <c r="M37" s="3286">
        <v>6</v>
      </c>
      <c r="N37" s="3286" t="s">
        <v>3149</v>
      </c>
      <c r="O37" s="3286"/>
      <c r="P37" s="3286" t="s">
        <v>2972</v>
      </c>
      <c r="Q37" s="3301">
        <v>270000</v>
      </c>
      <c r="R37" s="3300">
        <v>4980</v>
      </c>
      <c r="S37" s="3297">
        <v>30.36</v>
      </c>
      <c r="T37" s="3299">
        <v>303600</v>
      </c>
      <c r="U37" s="3286">
        <v>5600</v>
      </c>
      <c r="V37" s="3298">
        <v>0.2</v>
      </c>
      <c r="W37" s="3297">
        <v>24.28</v>
      </c>
      <c r="X37" s="3296">
        <v>242800</v>
      </c>
      <c r="Y37" s="3285">
        <v>2009</v>
      </c>
      <c r="Z37" s="3285">
        <v>3</v>
      </c>
      <c r="AA37" s="3285">
        <v>9</v>
      </c>
      <c r="AB37" s="3286">
        <v>910</v>
      </c>
      <c r="AC37" s="3286" t="s">
        <v>3140</v>
      </c>
      <c r="AD37" s="3286">
        <v>91162009020164</v>
      </c>
      <c r="AE37" s="3285" t="s">
        <v>3147</v>
      </c>
      <c r="AF37" s="3286" t="s">
        <v>2975</v>
      </c>
      <c r="AG37" s="3286" t="s">
        <v>2976</v>
      </c>
      <c r="AH37" s="3286" t="s">
        <v>3425</v>
      </c>
      <c r="AI37" s="3286" t="s">
        <v>3128</v>
      </c>
      <c r="AJ37" s="3293"/>
      <c r="AK37" s="3292">
        <v>3</v>
      </c>
      <c r="AL37" s="3285">
        <v>31</v>
      </c>
      <c r="AM37" s="3285" t="s">
        <v>3424</v>
      </c>
      <c r="AN37" s="3285" t="s">
        <v>3234</v>
      </c>
      <c r="AO37" s="3285"/>
      <c r="AP37" s="3285" t="s">
        <v>3258</v>
      </c>
      <c r="AQ37" s="3286" t="s">
        <v>3125</v>
      </c>
      <c r="AR37" s="3285"/>
      <c r="AS37" s="3285"/>
      <c r="AT37" s="3285"/>
      <c r="AU37" s="3285"/>
      <c r="AV37" s="3285"/>
      <c r="AW37" s="3285" t="s">
        <v>3144</v>
      </c>
      <c r="AX37" s="3285"/>
      <c r="AY37" s="3290"/>
      <c r="AZ37" s="3285" t="s">
        <v>3423</v>
      </c>
      <c r="BA37" s="3285"/>
      <c r="BB37" s="3290"/>
      <c r="BC37" s="3285"/>
      <c r="BD37" s="3291"/>
      <c r="BE37" s="3285">
        <v>13716353092</v>
      </c>
      <c r="BF37" s="3289"/>
      <c r="BG37" s="3288">
        <v>39868</v>
      </c>
      <c r="BH37" s="3285"/>
      <c r="BI37" s="3285" t="s">
        <v>3258</v>
      </c>
      <c r="BJ37" s="3287">
        <v>39868</v>
      </c>
      <c r="BK37" s="3287"/>
      <c r="BL37" s="3286" t="s">
        <v>3007</v>
      </c>
      <c r="BM37" s="3285" t="s">
        <v>2881</v>
      </c>
      <c r="BN37" s="3285" t="s">
        <v>3008</v>
      </c>
      <c r="BO37" s="3285" t="s">
        <v>3009</v>
      </c>
      <c r="BP37" s="3285"/>
      <c r="BQ37" s="3285" t="e">
        <v>#DIV/0!</v>
      </c>
      <c r="BR37" s="3285" t="e">
        <v>#DIV/0!</v>
      </c>
      <c r="BS37" s="3284" t="s">
        <v>3258</v>
      </c>
      <c r="BT37" s="3284" t="s">
        <v>3140</v>
      </c>
      <c r="BU37" s="3283"/>
      <c r="BV37" s="3330"/>
    </row>
    <row r="38" spans="1:74" s="3282" customFormat="1">
      <c r="A38" s="3286" t="s">
        <v>3422</v>
      </c>
      <c r="B38" s="3286" t="s">
        <v>3417</v>
      </c>
      <c r="C38" s="3331" t="s">
        <v>3421</v>
      </c>
      <c r="D38" s="3295" t="s">
        <v>3420</v>
      </c>
      <c r="E38" s="3286" t="s">
        <v>3135</v>
      </c>
      <c r="F38" s="3302" t="s">
        <v>3134</v>
      </c>
      <c r="G38" s="3286"/>
      <c r="H38" s="3286" t="s">
        <v>3419</v>
      </c>
      <c r="I38" s="3286" t="s">
        <v>3152</v>
      </c>
      <c r="J38" s="3295" t="s">
        <v>3418</v>
      </c>
      <c r="K38" s="3286" t="s">
        <v>3417</v>
      </c>
      <c r="L38" s="3286">
        <v>88.91</v>
      </c>
      <c r="M38" s="3286">
        <v>4</v>
      </c>
      <c r="N38" s="3286" t="s">
        <v>3149</v>
      </c>
      <c r="O38" s="3286"/>
      <c r="P38" s="3286" t="s">
        <v>2972</v>
      </c>
      <c r="Q38" s="3301">
        <v>525000</v>
      </c>
      <c r="R38" s="3300">
        <v>5905</v>
      </c>
      <c r="S38" s="3297">
        <v>55.56</v>
      </c>
      <c r="T38" s="3299">
        <v>555600</v>
      </c>
      <c r="U38" s="3286">
        <v>6250</v>
      </c>
      <c r="V38" s="3298">
        <v>0.2</v>
      </c>
      <c r="W38" s="3297">
        <v>44.44</v>
      </c>
      <c r="X38" s="3296">
        <v>444400</v>
      </c>
      <c r="Y38" s="3285">
        <v>2009</v>
      </c>
      <c r="Z38" s="3285">
        <v>3</v>
      </c>
      <c r="AA38" s="3285">
        <v>27</v>
      </c>
      <c r="AB38" s="3286">
        <v>1500</v>
      </c>
      <c r="AC38" s="3286" t="s">
        <v>3140</v>
      </c>
      <c r="AD38" s="3331">
        <v>91162009030108</v>
      </c>
      <c r="AE38" s="3285" t="s">
        <v>3147</v>
      </c>
      <c r="AF38" s="3286" t="s">
        <v>2975</v>
      </c>
      <c r="AG38" s="3294" t="s">
        <v>2976</v>
      </c>
      <c r="AH38" s="3286"/>
      <c r="AI38" s="3294" t="s">
        <v>3128</v>
      </c>
      <c r="AJ38" s="3293"/>
      <c r="AK38" s="3292" t="s">
        <v>3126</v>
      </c>
      <c r="AL38" s="3285">
        <v>39</v>
      </c>
      <c r="AM38" s="3285" t="s">
        <v>3416</v>
      </c>
      <c r="AN38" s="3285" t="s">
        <v>3003</v>
      </c>
      <c r="AO38" s="3285"/>
      <c r="AP38" s="3285" t="s">
        <v>3414</v>
      </c>
      <c r="AQ38" s="3286" t="s">
        <v>3125</v>
      </c>
      <c r="AR38" s="3285"/>
      <c r="AS38" s="3285"/>
      <c r="AT38" s="3285"/>
      <c r="AU38" s="3285"/>
      <c r="AV38" s="3285"/>
      <c r="AW38" s="3285" t="s">
        <v>3144</v>
      </c>
      <c r="AX38" s="3285"/>
      <c r="AY38" s="3290"/>
      <c r="AZ38" s="3285" t="s">
        <v>3415</v>
      </c>
      <c r="BA38" s="3285"/>
      <c r="BB38" s="3290"/>
      <c r="BC38" s="3285"/>
      <c r="BD38" s="3291"/>
      <c r="BE38" s="3285">
        <v>69718265</v>
      </c>
      <c r="BF38" s="3289"/>
      <c r="BG38" s="3288">
        <v>39882</v>
      </c>
      <c r="BH38" s="3285"/>
      <c r="BI38" s="3285" t="s">
        <v>3414</v>
      </c>
      <c r="BJ38" s="3287">
        <v>39882</v>
      </c>
      <c r="BK38" s="3287"/>
      <c r="BL38" s="3286" t="s">
        <v>3007</v>
      </c>
      <c r="BM38" s="3285" t="s">
        <v>3170</v>
      </c>
      <c r="BN38" s="3285" t="s">
        <v>3122</v>
      </c>
      <c r="BO38" s="3285" t="s">
        <v>3009</v>
      </c>
      <c r="BP38" s="3285"/>
      <c r="BQ38" s="3285" t="e">
        <v>#DIV/0!</v>
      </c>
      <c r="BR38" s="3285" t="e">
        <v>#DIV/0!</v>
      </c>
      <c r="BS38" s="3284" t="s">
        <v>3414</v>
      </c>
      <c r="BT38" s="3284" t="s">
        <v>3140</v>
      </c>
      <c r="BU38" s="3283"/>
      <c r="BV38" s="3330"/>
    </row>
    <row r="39" spans="1:74" s="3282" customFormat="1">
      <c r="A39" s="3286" t="s">
        <v>3413</v>
      </c>
      <c r="B39" s="3286" t="s">
        <v>3408</v>
      </c>
      <c r="C39" s="3295" t="s">
        <v>3412</v>
      </c>
      <c r="D39" s="3295" t="s">
        <v>3411</v>
      </c>
      <c r="E39" s="3286" t="s">
        <v>3135</v>
      </c>
      <c r="F39" s="3302" t="s">
        <v>3134</v>
      </c>
      <c r="G39" s="3286"/>
      <c r="H39" s="3286" t="s">
        <v>3410</v>
      </c>
      <c r="I39" s="3286" t="s">
        <v>3352</v>
      </c>
      <c r="J39" s="3295" t="s">
        <v>3409</v>
      </c>
      <c r="K39" s="3286" t="s">
        <v>3408</v>
      </c>
      <c r="L39" s="3286">
        <v>58.12</v>
      </c>
      <c r="M39" s="3286">
        <v>4</v>
      </c>
      <c r="N39" s="3286" t="s">
        <v>3149</v>
      </c>
      <c r="O39" s="3286"/>
      <c r="P39" s="3286" t="s">
        <v>2972</v>
      </c>
      <c r="Q39" s="3301">
        <v>330000</v>
      </c>
      <c r="R39" s="3300">
        <v>5678</v>
      </c>
      <c r="S39" s="3297">
        <v>32.83</v>
      </c>
      <c r="T39" s="3299">
        <v>328300</v>
      </c>
      <c r="U39" s="3286">
        <v>5650</v>
      </c>
      <c r="V39" s="3298">
        <v>0.2</v>
      </c>
      <c r="W39" s="3297">
        <v>26.26</v>
      </c>
      <c r="X39" s="3296">
        <v>262600</v>
      </c>
      <c r="Y39" s="3285">
        <v>2009</v>
      </c>
      <c r="Z39" s="3285">
        <v>4</v>
      </c>
      <c r="AA39" s="3286">
        <v>9</v>
      </c>
      <c r="AB39" s="3286">
        <v>980</v>
      </c>
      <c r="AC39" s="3286" t="s">
        <v>3140</v>
      </c>
      <c r="AD39" s="3286">
        <v>91162009040012</v>
      </c>
      <c r="AE39" s="3285" t="s">
        <v>3147</v>
      </c>
      <c r="AF39" s="3286" t="s">
        <v>2975</v>
      </c>
      <c r="AG39" s="3286" t="s">
        <v>2976</v>
      </c>
      <c r="AH39" s="3286"/>
      <c r="AI39" s="3286" t="s">
        <v>3128</v>
      </c>
      <c r="AJ39" s="3293"/>
      <c r="AK39" s="3292">
        <v>4</v>
      </c>
      <c r="AL39" s="3285">
        <v>32</v>
      </c>
      <c r="AM39" s="3285" t="s">
        <v>3407</v>
      </c>
      <c r="AN39" s="3285" t="s">
        <v>3234</v>
      </c>
      <c r="AO39" s="3285"/>
      <c r="AP39" s="3329" t="s">
        <v>3258</v>
      </c>
      <c r="AQ39" s="3286" t="s">
        <v>3125</v>
      </c>
      <c r="AR39" s="3285"/>
      <c r="AS39" s="3285"/>
      <c r="AT39" s="3285"/>
      <c r="AU39" s="3285"/>
      <c r="AV39" s="3285"/>
      <c r="AW39" s="3285" t="s">
        <v>3144</v>
      </c>
      <c r="AX39" s="3285"/>
      <c r="AY39" s="3290"/>
      <c r="AZ39" s="3285" t="s">
        <v>3406</v>
      </c>
      <c r="BA39" s="3285"/>
      <c r="BB39" s="3290"/>
      <c r="BC39" s="3285"/>
      <c r="BD39" s="3291"/>
      <c r="BE39" s="3285">
        <v>13717620698</v>
      </c>
      <c r="BF39" s="3289"/>
      <c r="BG39" s="3288">
        <v>39902</v>
      </c>
      <c r="BH39" s="3285"/>
      <c r="BI39" s="3329" t="s">
        <v>3258</v>
      </c>
      <c r="BJ39" s="3287">
        <v>39904</v>
      </c>
      <c r="BK39" s="3287"/>
      <c r="BL39" s="3286" t="s">
        <v>3007</v>
      </c>
      <c r="BM39" s="3285" t="s">
        <v>2881</v>
      </c>
      <c r="BN39" s="3285" t="s">
        <v>3008</v>
      </c>
      <c r="BO39" s="3285" t="s">
        <v>3009</v>
      </c>
      <c r="BP39" s="3285"/>
      <c r="BQ39" s="3285" t="e">
        <v>#DIV/0!</v>
      </c>
      <c r="BR39" s="3285" t="e">
        <v>#DIV/0!</v>
      </c>
      <c r="BS39" s="3284" t="s">
        <v>3258</v>
      </c>
      <c r="BT39" s="3284" t="s">
        <v>3140</v>
      </c>
      <c r="BU39" s="3283"/>
      <c r="BV39" s="3283"/>
    </row>
    <row r="40" spans="1:74" s="3303" customFormat="1">
      <c r="A40" s="3308" t="s">
        <v>3405</v>
      </c>
      <c r="B40" s="3308" t="s">
        <v>3400</v>
      </c>
      <c r="C40" s="3313" t="s">
        <v>3404</v>
      </c>
      <c r="D40" s="3313" t="s">
        <v>3403</v>
      </c>
      <c r="E40" s="3308" t="s">
        <v>3135</v>
      </c>
      <c r="F40" s="3328" t="s">
        <v>3154</v>
      </c>
      <c r="G40" s="3308"/>
      <c r="H40" s="3308" t="s">
        <v>3228</v>
      </c>
      <c r="I40" s="3308" t="s">
        <v>3402</v>
      </c>
      <c r="J40" s="3313" t="s">
        <v>3401</v>
      </c>
      <c r="K40" s="3308" t="s">
        <v>3400</v>
      </c>
      <c r="L40" s="3308">
        <v>55.09</v>
      </c>
      <c r="M40" s="3308">
        <v>5</v>
      </c>
      <c r="N40" s="3308" t="s">
        <v>3149</v>
      </c>
      <c r="O40" s="3308"/>
      <c r="P40" s="3308" t="s">
        <v>2972</v>
      </c>
      <c r="Q40" s="3327">
        <v>315000</v>
      </c>
      <c r="R40" s="3318">
        <v>5718</v>
      </c>
      <c r="S40" s="3315">
        <v>31.4</v>
      </c>
      <c r="T40" s="3317">
        <v>314000</v>
      </c>
      <c r="U40" s="3308">
        <v>5700</v>
      </c>
      <c r="V40" s="3316">
        <v>0.2</v>
      </c>
      <c r="W40" s="3315">
        <v>25.12</v>
      </c>
      <c r="X40" s="3314">
        <v>251200</v>
      </c>
      <c r="Y40" s="3307">
        <v>2009</v>
      </c>
      <c r="Z40" s="3307">
        <v>4</v>
      </c>
      <c r="AA40" s="3308">
        <v>17</v>
      </c>
      <c r="AB40" s="3308">
        <v>940</v>
      </c>
      <c r="AC40" s="3308" t="s">
        <v>3140</v>
      </c>
      <c r="AD40" s="3308">
        <v>91162009040070</v>
      </c>
      <c r="AE40" s="3307" t="s">
        <v>3147</v>
      </c>
      <c r="AF40" s="3308" t="s">
        <v>2975</v>
      </c>
      <c r="AG40" s="3308" t="s">
        <v>2976</v>
      </c>
      <c r="AH40" s="3308" t="s">
        <v>3399</v>
      </c>
      <c r="AI40" s="3308" t="s">
        <v>3128</v>
      </c>
      <c r="AJ40" s="3310"/>
      <c r="AK40" s="3321">
        <v>4</v>
      </c>
      <c r="AL40" s="3307">
        <v>28</v>
      </c>
      <c r="AM40" s="3307" t="s">
        <v>3398</v>
      </c>
      <c r="AN40" s="3307" t="s">
        <v>3126</v>
      </c>
      <c r="AO40" s="3307"/>
      <c r="AP40" s="3320" t="s">
        <v>3258</v>
      </c>
      <c r="AQ40" s="3308" t="s">
        <v>3125</v>
      </c>
      <c r="AR40" s="3307"/>
      <c r="AS40" s="3307"/>
      <c r="AT40" s="3307"/>
      <c r="AU40" s="3307"/>
      <c r="AV40" s="3307"/>
      <c r="AW40" s="3307" t="s">
        <v>3144</v>
      </c>
      <c r="AX40" s="3307"/>
      <c r="AY40" s="3326"/>
      <c r="AZ40" s="3307" t="s">
        <v>3397</v>
      </c>
      <c r="BA40" s="3307"/>
      <c r="BB40" s="3326"/>
      <c r="BC40" s="3307"/>
      <c r="BD40" s="3325"/>
      <c r="BE40" s="3307">
        <v>13916289229</v>
      </c>
      <c r="BF40" s="3324"/>
      <c r="BG40" s="3323">
        <v>39910</v>
      </c>
      <c r="BH40" s="3307"/>
      <c r="BI40" s="3320" t="s">
        <v>3258</v>
      </c>
      <c r="BJ40" s="3322">
        <v>39910</v>
      </c>
      <c r="BK40" s="3322"/>
      <c r="BL40" s="3308" t="s">
        <v>3007</v>
      </c>
      <c r="BM40" s="3307" t="s">
        <v>2881</v>
      </c>
      <c r="BN40" s="3307" t="s">
        <v>3008</v>
      </c>
      <c r="BO40" s="3307" t="s">
        <v>3259</v>
      </c>
      <c r="BP40" s="3307"/>
      <c r="BQ40" s="3307" t="e">
        <v>#DIV/0!</v>
      </c>
      <c r="BR40" s="3307" t="e">
        <v>#DIV/0!</v>
      </c>
      <c r="BS40" s="3306" t="s">
        <v>3258</v>
      </c>
      <c r="BT40" s="3306" t="s">
        <v>3140</v>
      </c>
      <c r="BU40" s="3305"/>
      <c r="BV40" s="3305"/>
    </row>
    <row r="41" spans="1:74" s="3303" customFormat="1">
      <c r="A41" s="3308" t="s">
        <v>3396</v>
      </c>
      <c r="B41" s="3308" t="s">
        <v>3392</v>
      </c>
      <c r="C41" s="3313" t="s">
        <v>3395</v>
      </c>
      <c r="D41" s="3308">
        <v>13661321114</v>
      </c>
      <c r="E41" s="3308" t="s">
        <v>3135</v>
      </c>
      <c r="F41" s="3308" t="s">
        <v>3154</v>
      </c>
      <c r="G41" s="3308"/>
      <c r="H41" s="3308" t="s">
        <v>3166</v>
      </c>
      <c r="I41" s="3308" t="s">
        <v>3394</v>
      </c>
      <c r="J41" s="3308" t="s">
        <v>3393</v>
      </c>
      <c r="K41" s="3308" t="s">
        <v>3392</v>
      </c>
      <c r="L41" s="3308">
        <v>98.33</v>
      </c>
      <c r="M41" s="3308">
        <v>6</v>
      </c>
      <c r="N41" s="3308" t="s">
        <v>3162</v>
      </c>
      <c r="O41" s="3308"/>
      <c r="P41" s="3308" t="s">
        <v>2972</v>
      </c>
      <c r="Q41" s="3308">
        <v>610000</v>
      </c>
      <c r="R41" s="3318">
        <v>6204</v>
      </c>
      <c r="S41" s="3315">
        <v>59.04</v>
      </c>
      <c r="T41" s="3317">
        <v>590400</v>
      </c>
      <c r="U41" s="3308">
        <v>6005</v>
      </c>
      <c r="V41" s="3316">
        <v>0.2</v>
      </c>
      <c r="W41" s="3315">
        <v>47.23</v>
      </c>
      <c r="X41" s="3314">
        <v>472299.99999999994</v>
      </c>
      <c r="Y41" s="3307">
        <v>2009</v>
      </c>
      <c r="Z41" s="3307">
        <v>4</v>
      </c>
      <c r="AA41" s="3308">
        <v>30</v>
      </c>
      <c r="AB41" s="3308">
        <v>1500</v>
      </c>
      <c r="AC41" s="3308" t="s">
        <v>3140</v>
      </c>
      <c r="AD41" s="3308">
        <v>91162009040247</v>
      </c>
      <c r="AE41" s="3308" t="s">
        <v>3147</v>
      </c>
      <c r="AF41" s="3308" t="s">
        <v>2975</v>
      </c>
      <c r="AG41" s="3308" t="s">
        <v>2976</v>
      </c>
      <c r="AH41" s="3308"/>
      <c r="AI41" s="3308" t="s">
        <v>3128</v>
      </c>
      <c r="AJ41" s="3308"/>
      <c r="AK41" s="3321">
        <v>4</v>
      </c>
      <c r="AL41" s="3308">
        <v>38</v>
      </c>
      <c r="AM41" s="3308" t="s">
        <v>3391</v>
      </c>
      <c r="AN41" s="3308" t="s">
        <v>3108</v>
      </c>
      <c r="AO41" s="3308"/>
      <c r="AP41" s="3320" t="s">
        <v>3258</v>
      </c>
      <c r="AQ41" s="3308" t="s">
        <v>3125</v>
      </c>
      <c r="AR41" s="3308"/>
      <c r="AS41" s="3308"/>
      <c r="AT41" s="3308"/>
      <c r="AU41" s="3308"/>
      <c r="AV41" s="3308"/>
      <c r="AW41" s="3308" t="s">
        <v>3144</v>
      </c>
      <c r="AX41" s="3308"/>
      <c r="AY41" s="3313"/>
      <c r="AZ41" s="3308" t="s">
        <v>3390</v>
      </c>
      <c r="BA41" s="3308"/>
      <c r="BB41" s="3313"/>
      <c r="BC41" s="3308"/>
      <c r="BD41" s="3312"/>
      <c r="BE41" s="3308">
        <v>13651088759</v>
      </c>
      <c r="BF41" s="3311"/>
      <c r="BG41" s="3310">
        <v>39924</v>
      </c>
      <c r="BH41" s="3308"/>
      <c r="BI41" s="3320" t="s">
        <v>3258</v>
      </c>
      <c r="BJ41" s="3309">
        <v>39924</v>
      </c>
      <c r="BK41" s="3309"/>
      <c r="BL41" s="3308" t="s">
        <v>3007</v>
      </c>
      <c r="BM41" s="3308" t="s">
        <v>2881</v>
      </c>
      <c r="BN41" s="3308" t="s">
        <v>3122</v>
      </c>
      <c r="BO41" s="3308" t="s">
        <v>3259</v>
      </c>
      <c r="BP41" s="3308"/>
      <c r="BQ41" s="3307" t="e">
        <v>#DIV/0!</v>
      </c>
      <c r="BR41" s="3307" t="e">
        <v>#DIV/0!</v>
      </c>
      <c r="BS41" s="3306" t="s">
        <v>3258</v>
      </c>
      <c r="BT41" s="3306" t="s">
        <v>3140</v>
      </c>
      <c r="BU41" s="3305"/>
      <c r="BV41" s="3304"/>
    </row>
    <row r="42" spans="1:74" s="3282" customFormat="1">
      <c r="A42" s="3286" t="s">
        <v>3389</v>
      </c>
      <c r="B42" s="3286" t="s">
        <v>3388</v>
      </c>
      <c r="C42" s="3295" t="s">
        <v>3387</v>
      </c>
      <c r="D42" s="3295" t="s">
        <v>3386</v>
      </c>
      <c r="E42" s="3286" t="s">
        <v>3135</v>
      </c>
      <c r="F42" s="3302" t="s">
        <v>3134</v>
      </c>
      <c r="G42" s="3286"/>
      <c r="H42" s="3286" t="s">
        <v>3385</v>
      </c>
      <c r="I42" s="3286" t="s">
        <v>3384</v>
      </c>
      <c r="J42" s="3295" t="s">
        <v>3383</v>
      </c>
      <c r="K42" s="3286" t="s">
        <v>3380</v>
      </c>
      <c r="L42" s="3286">
        <v>42.15</v>
      </c>
      <c r="M42" s="3286">
        <v>2</v>
      </c>
      <c r="N42" s="3286" t="s">
        <v>3280</v>
      </c>
      <c r="O42" s="3286"/>
      <c r="P42" s="3286" t="s">
        <v>2972</v>
      </c>
      <c r="Q42" s="3301">
        <v>200000</v>
      </c>
      <c r="R42" s="3300">
        <v>4745</v>
      </c>
      <c r="S42" s="3297">
        <v>26.97</v>
      </c>
      <c r="T42" s="3299">
        <v>269700</v>
      </c>
      <c r="U42" s="3286">
        <v>6400</v>
      </c>
      <c r="V42" s="3298">
        <v>0.2</v>
      </c>
      <c r="W42" s="3297">
        <v>21.57</v>
      </c>
      <c r="X42" s="3296">
        <v>215700</v>
      </c>
      <c r="Y42" s="3285">
        <v>2009</v>
      </c>
      <c r="Z42" s="3285">
        <v>5</v>
      </c>
      <c r="AA42" s="3285">
        <v>12</v>
      </c>
      <c r="AB42" s="3286">
        <v>805</v>
      </c>
      <c r="AC42" s="3286" t="s">
        <v>3140</v>
      </c>
      <c r="AD42" s="3295" t="s">
        <v>3382</v>
      </c>
      <c r="AE42" s="3285" t="s">
        <v>3147</v>
      </c>
      <c r="AF42" s="3286" t="s">
        <v>2975</v>
      </c>
      <c r="AG42" s="3294" t="s">
        <v>2976</v>
      </c>
      <c r="AH42" s="3286"/>
      <c r="AI42" s="3286" t="s">
        <v>3128</v>
      </c>
      <c r="AJ42" s="3293"/>
      <c r="AK42" s="3292" t="s">
        <v>3108</v>
      </c>
      <c r="AL42" s="3285">
        <v>41</v>
      </c>
      <c r="AM42" s="3285" t="s">
        <v>3381</v>
      </c>
      <c r="AN42" s="3285" t="s">
        <v>3234</v>
      </c>
      <c r="AO42" s="3285"/>
      <c r="AP42" s="3285" t="s">
        <v>3141</v>
      </c>
      <c r="AQ42" s="3286" t="s">
        <v>3125</v>
      </c>
      <c r="AR42" s="3285"/>
      <c r="AS42" s="3285"/>
      <c r="AT42" s="3285"/>
      <c r="AU42" s="3285"/>
      <c r="AV42" s="3285"/>
      <c r="AW42" s="3285" t="s">
        <v>3144</v>
      </c>
      <c r="AX42" s="3285"/>
      <c r="AY42" s="3290"/>
      <c r="AZ42" s="3285" t="s">
        <v>3380</v>
      </c>
      <c r="BA42" s="3285"/>
      <c r="BB42" s="3290"/>
      <c r="BC42" s="3285"/>
      <c r="BD42" s="3291"/>
      <c r="BE42" s="3285">
        <v>13716301993</v>
      </c>
      <c r="BF42" s="3289"/>
      <c r="BG42" s="3288" t="s">
        <v>3379</v>
      </c>
      <c r="BH42" s="3285"/>
      <c r="BI42" s="3285" t="s">
        <v>3141</v>
      </c>
      <c r="BJ42" s="3319">
        <v>39939</v>
      </c>
      <c r="BK42" s="3287"/>
      <c r="BL42" s="3286" t="s">
        <v>3007</v>
      </c>
      <c r="BM42" s="3285" t="s">
        <v>3170</v>
      </c>
      <c r="BN42" s="3285" t="s">
        <v>3122</v>
      </c>
      <c r="BO42" s="3285" t="s">
        <v>3009</v>
      </c>
      <c r="BP42" s="3285"/>
      <c r="BQ42" s="3285" t="e">
        <v>#DIV/0!</v>
      </c>
      <c r="BR42" s="3285" t="e">
        <v>#DIV/0!</v>
      </c>
      <c r="BS42" s="3284" t="s">
        <v>3141</v>
      </c>
      <c r="BT42" s="3284" t="s">
        <v>3140</v>
      </c>
      <c r="BU42" s="3283"/>
      <c r="BV42" s="3283"/>
    </row>
    <row r="43" spans="1:74" s="3282" customFormat="1">
      <c r="A43" s="3286" t="s">
        <v>3378</v>
      </c>
      <c r="B43" s="3286" t="s">
        <v>3373</v>
      </c>
      <c r="C43" s="3295" t="s">
        <v>3377</v>
      </c>
      <c r="D43" s="3295" t="s">
        <v>3376</v>
      </c>
      <c r="E43" s="3286" t="s">
        <v>3135</v>
      </c>
      <c r="F43" s="3302" t="s">
        <v>3211</v>
      </c>
      <c r="G43" s="3286"/>
      <c r="H43" s="3286" t="s">
        <v>3375</v>
      </c>
      <c r="I43" s="3286" t="s">
        <v>3374</v>
      </c>
      <c r="J43" s="3295" t="s">
        <v>3282</v>
      </c>
      <c r="K43" s="3286" t="s">
        <v>3373</v>
      </c>
      <c r="L43" s="3286">
        <v>123.75</v>
      </c>
      <c r="M43" s="3286">
        <v>1</v>
      </c>
      <c r="N43" s="3286" t="s">
        <v>3372</v>
      </c>
      <c r="O43" s="3286"/>
      <c r="P43" s="3286" t="s">
        <v>2972</v>
      </c>
      <c r="Q43" s="3301">
        <v>373000</v>
      </c>
      <c r="R43" s="3300">
        <v>3014</v>
      </c>
      <c r="S43" s="3297">
        <v>77.34</v>
      </c>
      <c r="T43" s="3299">
        <v>773400</v>
      </c>
      <c r="U43" s="3286">
        <v>6250</v>
      </c>
      <c r="V43" s="3298">
        <v>0.2</v>
      </c>
      <c r="W43" s="3297">
        <v>61.87</v>
      </c>
      <c r="X43" s="3296">
        <v>618700</v>
      </c>
      <c r="Y43" s="3285">
        <v>2009</v>
      </c>
      <c r="Z43" s="3285">
        <v>5</v>
      </c>
      <c r="AA43" s="3285">
        <v>31</v>
      </c>
      <c r="AB43" s="3286">
        <v>1500</v>
      </c>
      <c r="AC43" s="3286" t="s">
        <v>3140</v>
      </c>
      <c r="AD43" s="3295" t="s">
        <v>3371</v>
      </c>
      <c r="AE43" s="3285" t="s">
        <v>3147</v>
      </c>
      <c r="AF43" s="3286" t="s">
        <v>2975</v>
      </c>
      <c r="AG43" s="3286" t="s">
        <v>2976</v>
      </c>
      <c r="AH43" s="3286" t="s">
        <v>3370</v>
      </c>
      <c r="AI43" s="3286" t="s">
        <v>3128</v>
      </c>
      <c r="AJ43" s="3293"/>
      <c r="AK43" s="3292" t="s">
        <v>3108</v>
      </c>
      <c r="AL43" s="3285">
        <v>41</v>
      </c>
      <c r="AM43" s="3285" t="s">
        <v>3369</v>
      </c>
      <c r="AN43" s="3285" t="s">
        <v>3108</v>
      </c>
      <c r="AO43" s="3285"/>
      <c r="AP43" s="3285" t="s">
        <v>3141</v>
      </c>
      <c r="AQ43" s="3286" t="s">
        <v>3125</v>
      </c>
      <c r="AR43" s="3285"/>
      <c r="AS43" s="3285"/>
      <c r="AT43" s="3285"/>
      <c r="AU43" s="3285"/>
      <c r="AV43" s="3285"/>
      <c r="AW43" s="3285" t="s">
        <v>3144</v>
      </c>
      <c r="AX43" s="3285"/>
      <c r="AY43" s="3290"/>
      <c r="AZ43" s="3285" t="s">
        <v>3368</v>
      </c>
      <c r="BA43" s="3285"/>
      <c r="BB43" s="3290"/>
      <c r="BC43" s="3285"/>
      <c r="BD43" s="3291"/>
      <c r="BE43" s="3285">
        <v>13501007729</v>
      </c>
      <c r="BF43" s="3289"/>
      <c r="BG43" s="3288">
        <v>39953</v>
      </c>
      <c r="BH43" s="3285"/>
      <c r="BI43" s="3285" t="s">
        <v>3141</v>
      </c>
      <c r="BJ43" s="3287">
        <v>39954</v>
      </c>
      <c r="BK43" s="3287"/>
      <c r="BL43" s="3286" t="s">
        <v>3007</v>
      </c>
      <c r="BM43" s="3285" t="s">
        <v>3170</v>
      </c>
      <c r="BN43" s="3285" t="s">
        <v>3008</v>
      </c>
      <c r="BO43" s="3285" t="s">
        <v>3009</v>
      </c>
      <c r="BP43" s="3285"/>
      <c r="BQ43" s="3285" t="e">
        <v>#DIV/0!</v>
      </c>
      <c r="BR43" s="3285" t="e">
        <v>#DIV/0!</v>
      </c>
      <c r="BS43" s="3284" t="s">
        <v>3141</v>
      </c>
      <c r="BT43" s="3284" t="s">
        <v>3140</v>
      </c>
      <c r="BU43" s="3283"/>
      <c r="BV43" s="3283"/>
    </row>
    <row r="44" spans="1:74" s="3303" customFormat="1">
      <c r="A44" s="3308" t="s">
        <v>3367</v>
      </c>
      <c r="B44" s="3308" t="s">
        <v>3362</v>
      </c>
      <c r="C44" s="3308" t="s">
        <v>3366</v>
      </c>
      <c r="D44" s="3308" t="s">
        <v>3365</v>
      </c>
      <c r="E44" s="3308" t="s">
        <v>3135</v>
      </c>
      <c r="F44" s="3308" t="s">
        <v>3211</v>
      </c>
      <c r="G44" s="3308"/>
      <c r="H44" s="3308" t="s">
        <v>3222</v>
      </c>
      <c r="I44" s="3308" t="s">
        <v>3364</v>
      </c>
      <c r="J44" s="3308" t="s">
        <v>3363</v>
      </c>
      <c r="K44" s="3308" t="s">
        <v>3362</v>
      </c>
      <c r="L44" s="3308">
        <v>103.02</v>
      </c>
      <c r="M44" s="3308">
        <v>6</v>
      </c>
      <c r="N44" s="3308" t="s">
        <v>3162</v>
      </c>
      <c r="O44" s="3308"/>
      <c r="P44" s="3308" t="s">
        <v>2972</v>
      </c>
      <c r="Q44" s="3308">
        <v>740000</v>
      </c>
      <c r="R44" s="3318">
        <v>7183</v>
      </c>
      <c r="S44" s="3315">
        <v>66.44</v>
      </c>
      <c r="T44" s="3317">
        <v>664400</v>
      </c>
      <c r="U44" s="3308">
        <v>6450</v>
      </c>
      <c r="V44" s="3316">
        <v>0.2</v>
      </c>
      <c r="W44" s="3315">
        <v>53.15</v>
      </c>
      <c r="X44" s="3314">
        <v>531500</v>
      </c>
      <c r="Y44" s="3308">
        <v>2009</v>
      </c>
      <c r="Z44" s="3308">
        <v>6</v>
      </c>
      <c r="AA44" s="3308">
        <v>11</v>
      </c>
      <c r="AB44" s="3308">
        <v>1500</v>
      </c>
      <c r="AC44" s="3308" t="s">
        <v>3140</v>
      </c>
      <c r="AD44" s="3308" t="s">
        <v>3361</v>
      </c>
      <c r="AE44" s="3308" t="s">
        <v>3147</v>
      </c>
      <c r="AF44" s="3308" t="s">
        <v>2975</v>
      </c>
      <c r="AG44" s="3308" t="s">
        <v>2976</v>
      </c>
      <c r="AH44" s="3308"/>
      <c r="AI44" s="3308" t="s">
        <v>3128</v>
      </c>
      <c r="AJ44" s="3308"/>
      <c r="AK44" s="3308">
        <v>6</v>
      </c>
      <c r="AL44" s="3308">
        <v>41</v>
      </c>
      <c r="AM44" s="3308" t="s">
        <v>3360</v>
      </c>
      <c r="AN44" s="3308" t="s">
        <v>3234</v>
      </c>
      <c r="AO44" s="3308"/>
      <c r="AP44" s="3308" t="s">
        <v>3141</v>
      </c>
      <c r="AQ44" s="3307" t="s">
        <v>3125</v>
      </c>
      <c r="AR44" s="3308"/>
      <c r="AS44" s="3308"/>
      <c r="AT44" s="3308"/>
      <c r="AU44" s="3308"/>
      <c r="AV44" s="3308"/>
      <c r="AW44" s="3308" t="s">
        <v>3144</v>
      </c>
      <c r="AX44" s="3308" t="s">
        <v>3159</v>
      </c>
      <c r="AY44" s="3313" t="s">
        <v>3359</v>
      </c>
      <c r="AZ44" s="3308" t="s">
        <v>3358</v>
      </c>
      <c r="BA44" s="3308"/>
      <c r="BB44" s="3313"/>
      <c r="BC44" s="3308"/>
      <c r="BD44" s="3312"/>
      <c r="BE44" s="3308">
        <v>13671226857</v>
      </c>
      <c r="BF44" s="3311"/>
      <c r="BG44" s="3310">
        <v>39958</v>
      </c>
      <c r="BH44" s="3308"/>
      <c r="BI44" s="3308" t="s">
        <v>3141</v>
      </c>
      <c r="BJ44" s="3309">
        <v>39958</v>
      </c>
      <c r="BK44" s="3309"/>
      <c r="BL44" s="3308" t="s">
        <v>3007</v>
      </c>
      <c r="BM44" s="3308" t="s">
        <v>2881</v>
      </c>
      <c r="BN44" s="3308" t="s">
        <v>3008</v>
      </c>
      <c r="BO44" s="3308" t="s">
        <v>3009</v>
      </c>
      <c r="BP44" s="3308"/>
      <c r="BQ44" s="3307" t="e">
        <v>#DIV/0!</v>
      </c>
      <c r="BR44" s="3307" t="e">
        <v>#DIV/0!</v>
      </c>
      <c r="BS44" s="3306" t="s">
        <v>3141</v>
      </c>
      <c r="BT44" s="3306" t="s">
        <v>3140</v>
      </c>
      <c r="BU44" s="3305"/>
      <c r="BV44" s="3304"/>
    </row>
    <row r="45" spans="1:74" s="3282" customFormat="1">
      <c r="A45" s="3286" t="s">
        <v>3357</v>
      </c>
      <c r="B45" s="3286" t="s">
        <v>3350</v>
      </c>
      <c r="C45" s="3295" t="s">
        <v>3356</v>
      </c>
      <c r="D45" s="3295" t="s">
        <v>3355</v>
      </c>
      <c r="E45" s="3286" t="s">
        <v>3135</v>
      </c>
      <c r="F45" s="3302" t="s">
        <v>3354</v>
      </c>
      <c r="G45" s="3286"/>
      <c r="H45" s="3286" t="s">
        <v>3353</v>
      </c>
      <c r="I45" s="3286" t="s">
        <v>3352</v>
      </c>
      <c r="J45" s="3295" t="s">
        <v>3351</v>
      </c>
      <c r="K45" s="3286" t="s">
        <v>3350</v>
      </c>
      <c r="L45" s="3286">
        <v>70.95</v>
      </c>
      <c r="M45" s="3286">
        <v>4</v>
      </c>
      <c r="N45" s="3286" t="s">
        <v>3149</v>
      </c>
      <c r="O45" s="3286"/>
      <c r="P45" s="3286" t="s">
        <v>2972</v>
      </c>
      <c r="Q45" s="3301">
        <v>350000</v>
      </c>
      <c r="R45" s="3300">
        <v>4933</v>
      </c>
      <c r="S45" s="3297">
        <v>44.34</v>
      </c>
      <c r="T45" s="3299">
        <v>443400.00000000006</v>
      </c>
      <c r="U45" s="3286">
        <v>6250</v>
      </c>
      <c r="V45" s="3298">
        <v>0.2</v>
      </c>
      <c r="W45" s="3297">
        <v>35.47</v>
      </c>
      <c r="X45" s="3296">
        <v>354700</v>
      </c>
      <c r="Y45" s="3285">
        <v>2009</v>
      </c>
      <c r="Z45" s="3285">
        <v>6</v>
      </c>
      <c r="AA45" s="3285">
        <v>16</v>
      </c>
      <c r="AB45" s="3286">
        <v>1330</v>
      </c>
      <c r="AC45" s="3286" t="s">
        <v>3140</v>
      </c>
      <c r="AD45" s="3295" t="s">
        <v>3349</v>
      </c>
      <c r="AE45" s="3285" t="s">
        <v>3147</v>
      </c>
      <c r="AF45" s="3286" t="s">
        <v>2975</v>
      </c>
      <c r="AG45" s="3294" t="s">
        <v>2976</v>
      </c>
      <c r="AH45" s="3286"/>
      <c r="AI45" s="3294" t="s">
        <v>3128</v>
      </c>
      <c r="AJ45" s="3293"/>
      <c r="AK45" s="3292" t="s">
        <v>3348</v>
      </c>
      <c r="AL45" s="3285">
        <v>30</v>
      </c>
      <c r="AM45" s="3285" t="s">
        <v>3347</v>
      </c>
      <c r="AN45" s="3285" t="s">
        <v>3126</v>
      </c>
      <c r="AO45" s="3285"/>
      <c r="AP45" s="3285" t="s">
        <v>3141</v>
      </c>
      <c r="AQ45" s="3285" t="s">
        <v>3125</v>
      </c>
      <c r="AR45" s="3285"/>
      <c r="AS45" s="3285"/>
      <c r="AT45" s="3285"/>
      <c r="AU45" s="3285"/>
      <c r="AV45" s="3285"/>
      <c r="AW45" s="3285" t="s">
        <v>3144</v>
      </c>
      <c r="AX45" s="3285" t="s">
        <v>955</v>
      </c>
      <c r="AY45" s="3290" t="s">
        <v>3346</v>
      </c>
      <c r="AZ45" s="3285" t="s">
        <v>3345</v>
      </c>
      <c r="BA45" s="3285"/>
      <c r="BB45" s="3290"/>
      <c r="BC45" s="3285"/>
      <c r="BD45" s="3291"/>
      <c r="BE45" s="3290" t="s">
        <v>3344</v>
      </c>
      <c r="BF45" s="3289"/>
      <c r="BG45" s="3288">
        <v>39967</v>
      </c>
      <c r="BH45" s="3285"/>
      <c r="BI45" s="3285" t="s">
        <v>3141</v>
      </c>
      <c r="BJ45" s="3288">
        <v>39967</v>
      </c>
      <c r="BK45" s="3287"/>
      <c r="BL45" s="3286" t="s">
        <v>3007</v>
      </c>
      <c r="BM45" s="3285" t="s">
        <v>3170</v>
      </c>
      <c r="BN45" s="3285" t="s">
        <v>3008</v>
      </c>
      <c r="BO45" s="3285" t="s">
        <v>3009</v>
      </c>
      <c r="BP45" s="3285"/>
      <c r="BQ45" s="3285" t="e">
        <v>#DIV/0!</v>
      </c>
      <c r="BR45" s="3285" t="e">
        <v>#DIV/0!</v>
      </c>
      <c r="BS45" s="3284" t="s">
        <v>3141</v>
      </c>
      <c r="BT45" s="3284" t="s">
        <v>3140</v>
      </c>
      <c r="BU45" s="3283"/>
      <c r="BV45" s="3283"/>
    </row>
    <row r="46" spans="1:74">
      <c r="A46" s="3259" t="s">
        <v>3343</v>
      </c>
      <c r="B46" s="3259" t="s">
        <v>3341</v>
      </c>
      <c r="C46" s="3268" t="s">
        <v>3342</v>
      </c>
      <c r="D46" s="3259">
        <v>13522487113</v>
      </c>
      <c r="E46" s="3259" t="s">
        <v>3135</v>
      </c>
      <c r="F46" s="3259" t="s">
        <v>3211</v>
      </c>
      <c r="G46" s="3259"/>
      <c r="H46" s="3259" t="s">
        <v>3228</v>
      </c>
      <c r="I46" s="3259" t="s">
        <v>3327</v>
      </c>
      <c r="J46" s="3259" t="s">
        <v>3208</v>
      </c>
      <c r="K46" s="3259" t="s">
        <v>3341</v>
      </c>
      <c r="L46" s="3259">
        <v>55.51</v>
      </c>
      <c r="M46" s="3259">
        <v>2</v>
      </c>
      <c r="N46" s="3259" t="s">
        <v>3149</v>
      </c>
      <c r="O46" s="3259"/>
      <c r="P46" s="3259" t="s">
        <v>2972</v>
      </c>
      <c r="Q46" s="3259">
        <v>210000</v>
      </c>
      <c r="R46" s="3273">
        <v>3783</v>
      </c>
      <c r="S46" s="3270">
        <v>34.69</v>
      </c>
      <c r="T46" s="3272">
        <v>346900</v>
      </c>
      <c r="U46" s="3259">
        <v>6250</v>
      </c>
      <c r="V46" s="3271">
        <v>0.2</v>
      </c>
      <c r="W46" s="3270">
        <v>27.75</v>
      </c>
      <c r="X46" s="3269">
        <v>277500</v>
      </c>
      <c r="Y46" s="3259">
        <v>2009</v>
      </c>
      <c r="Z46" s="3259">
        <v>7</v>
      </c>
      <c r="AA46" s="3259">
        <v>22</v>
      </c>
      <c r="AB46" s="3259">
        <v>1040</v>
      </c>
      <c r="AC46" s="3259" t="s">
        <v>3140</v>
      </c>
      <c r="AD46" s="3268" t="s">
        <v>3340</v>
      </c>
      <c r="AE46" s="3259" t="s">
        <v>3147</v>
      </c>
      <c r="AF46" s="3259" t="s">
        <v>2975</v>
      </c>
      <c r="AG46" s="3259" t="s">
        <v>2976</v>
      </c>
      <c r="AH46" s="3259"/>
      <c r="AI46" s="3259" t="s">
        <v>3128</v>
      </c>
      <c r="AJ46" s="3259"/>
      <c r="AK46" s="3259" t="s">
        <v>3002</v>
      </c>
      <c r="AL46" s="3259">
        <v>31</v>
      </c>
      <c r="AM46" s="3259" t="s">
        <v>3339</v>
      </c>
      <c r="AN46" s="3259" t="s">
        <v>3003</v>
      </c>
      <c r="AO46" s="3259"/>
      <c r="AP46" s="3259" t="s">
        <v>3141</v>
      </c>
      <c r="AQ46" s="3258" t="s">
        <v>3125</v>
      </c>
      <c r="AR46" s="3259"/>
      <c r="AS46" s="3259"/>
      <c r="AT46" s="3259"/>
      <c r="AU46" s="3259"/>
      <c r="AV46" s="3259"/>
      <c r="AW46" s="3259" t="s">
        <v>3144</v>
      </c>
      <c r="AX46" s="3259" t="s">
        <v>955</v>
      </c>
      <c r="AY46" s="3268" t="s">
        <v>3338</v>
      </c>
      <c r="AZ46" s="3259" t="s">
        <v>3337</v>
      </c>
      <c r="BA46" s="3259"/>
      <c r="BB46" s="3268"/>
      <c r="BC46" s="3259"/>
      <c r="BD46" s="3279"/>
      <c r="BE46" s="3259">
        <v>13911596273</v>
      </c>
      <c r="BF46" s="3278"/>
      <c r="BG46" s="3267">
        <v>40000</v>
      </c>
      <c r="BH46" s="3259"/>
      <c r="BI46" s="3259" t="s">
        <v>3141</v>
      </c>
      <c r="BJ46" s="3277">
        <v>40000</v>
      </c>
      <c r="BK46" s="3277"/>
      <c r="BL46" s="3259" t="s">
        <v>3007</v>
      </c>
      <c r="BM46" s="3259" t="s">
        <v>3170</v>
      </c>
      <c r="BN46" s="3259" t="s">
        <v>3008</v>
      </c>
      <c r="BO46" s="3259" t="s">
        <v>3009</v>
      </c>
      <c r="BP46" s="3259"/>
      <c r="BQ46" s="3258" t="e">
        <v>#DIV/0!</v>
      </c>
      <c r="BR46" s="3258" t="e">
        <v>#DIV/0!</v>
      </c>
      <c r="BS46" s="3257" t="s">
        <v>3141</v>
      </c>
      <c r="BT46" s="3257" t="s">
        <v>3140</v>
      </c>
      <c r="BU46" s="3256"/>
      <c r="BV46" s="3255"/>
    </row>
    <row r="47" spans="1:74">
      <c r="A47" s="3259" t="s">
        <v>3336</v>
      </c>
      <c r="B47" s="3259" t="s">
        <v>3335</v>
      </c>
      <c r="C47" s="3268" t="s">
        <v>3334</v>
      </c>
      <c r="D47" s="3259">
        <v>13718000938</v>
      </c>
      <c r="E47" s="3259" t="s">
        <v>3135</v>
      </c>
      <c r="F47" s="3259" t="s">
        <v>3188</v>
      </c>
      <c r="G47" s="3259"/>
      <c r="H47" s="3259" t="s">
        <v>3228</v>
      </c>
      <c r="I47" s="3259" t="s">
        <v>3221</v>
      </c>
      <c r="J47" s="3259" t="s">
        <v>3333</v>
      </c>
      <c r="K47" s="3259" t="s">
        <v>3331</v>
      </c>
      <c r="L47" s="3259">
        <v>78.72</v>
      </c>
      <c r="M47" s="3259">
        <v>3</v>
      </c>
      <c r="N47" s="3259" t="s">
        <v>3162</v>
      </c>
      <c r="O47" s="3259"/>
      <c r="P47" s="3259" t="s">
        <v>2972</v>
      </c>
      <c r="Q47" s="3259">
        <v>307421</v>
      </c>
      <c r="R47" s="3273">
        <v>3905</v>
      </c>
      <c r="S47" s="3270">
        <v>39.36</v>
      </c>
      <c r="T47" s="3272">
        <v>393600</v>
      </c>
      <c r="U47" s="3259">
        <v>5000</v>
      </c>
      <c r="V47" s="3271">
        <v>0.2</v>
      </c>
      <c r="W47" s="3270">
        <v>31.48</v>
      </c>
      <c r="X47" s="3269">
        <v>314800</v>
      </c>
      <c r="Y47" s="3259">
        <v>2009</v>
      </c>
      <c r="Z47" s="3259">
        <v>10</v>
      </c>
      <c r="AA47" s="3259">
        <v>27</v>
      </c>
      <c r="AB47" s="3259">
        <v>1180</v>
      </c>
      <c r="AC47" s="3259" t="s">
        <v>3140</v>
      </c>
      <c r="AD47" s="3259">
        <v>91162009070142</v>
      </c>
      <c r="AE47" s="3259" t="s">
        <v>3147</v>
      </c>
      <c r="AF47" s="3259" t="s">
        <v>2975</v>
      </c>
      <c r="AG47" s="3259" t="s">
        <v>2976</v>
      </c>
      <c r="AH47" s="3259">
        <v>3899</v>
      </c>
      <c r="AI47" s="3259" t="s">
        <v>3128</v>
      </c>
      <c r="AJ47" s="3259"/>
      <c r="AK47" s="3281" t="s">
        <v>3325</v>
      </c>
      <c r="AL47" s="3259">
        <v>28</v>
      </c>
      <c r="AM47" s="3259"/>
      <c r="AN47" s="3259" t="s">
        <v>3003</v>
      </c>
      <c r="AO47" s="3259"/>
      <c r="AP47" s="3258" t="s">
        <v>3169</v>
      </c>
      <c r="AQ47" s="3276" t="s">
        <v>3125</v>
      </c>
      <c r="AR47" s="3259"/>
      <c r="AS47" s="3259"/>
      <c r="AT47" s="3259"/>
      <c r="AU47" s="3259"/>
      <c r="AV47" s="3259"/>
      <c r="AW47" s="3258" t="s">
        <v>3144</v>
      </c>
      <c r="AX47" s="3259" t="s">
        <v>3159</v>
      </c>
      <c r="AY47" s="3268" t="s">
        <v>3332</v>
      </c>
      <c r="AZ47" s="3259" t="s">
        <v>3331</v>
      </c>
      <c r="BA47" s="3259"/>
      <c r="BB47" s="3268"/>
      <c r="BC47" s="3259"/>
      <c r="BD47" s="3279"/>
      <c r="BE47" s="3259">
        <v>13718000938</v>
      </c>
      <c r="BF47" s="3278"/>
      <c r="BG47" s="3267">
        <v>40008</v>
      </c>
      <c r="BH47" s="3259"/>
      <c r="BI47" s="3258" t="s">
        <v>3169</v>
      </c>
      <c r="BJ47" s="3277">
        <v>40008</v>
      </c>
      <c r="BK47" s="3277"/>
      <c r="BL47" s="3259" t="s">
        <v>3007</v>
      </c>
      <c r="BM47" s="3259" t="s">
        <v>3170</v>
      </c>
      <c r="BN47" s="3259"/>
      <c r="BO47" s="3259" t="s">
        <v>3009</v>
      </c>
      <c r="BP47" s="3259"/>
      <c r="BQ47" s="3258" t="e">
        <v>#DIV/0!</v>
      </c>
      <c r="BR47" s="3258" t="e">
        <v>#DIV/0!</v>
      </c>
      <c r="BS47" s="3257" t="s">
        <v>3169</v>
      </c>
      <c r="BT47" s="3257" t="s">
        <v>3140</v>
      </c>
      <c r="BU47" s="3256"/>
      <c r="BV47" s="3255"/>
    </row>
    <row r="48" spans="1:74">
      <c r="A48" s="3259" t="s">
        <v>3330</v>
      </c>
      <c r="B48" s="3259" t="s">
        <v>3329</v>
      </c>
      <c r="C48" s="3268" t="s">
        <v>3328</v>
      </c>
      <c r="D48" s="3259">
        <v>13601265977</v>
      </c>
      <c r="E48" s="3259" t="s">
        <v>3135</v>
      </c>
      <c r="F48" s="3259" t="s">
        <v>3188</v>
      </c>
      <c r="G48" s="3259"/>
      <c r="H48" s="3259" t="s">
        <v>3228</v>
      </c>
      <c r="I48" s="3259" t="s">
        <v>3327</v>
      </c>
      <c r="J48" s="3259" t="s">
        <v>3326</v>
      </c>
      <c r="K48" s="3259" t="s">
        <v>3323</v>
      </c>
      <c r="L48" s="3259">
        <v>55.09</v>
      </c>
      <c r="M48" s="3259">
        <v>2</v>
      </c>
      <c r="N48" s="3259" t="s">
        <v>3149</v>
      </c>
      <c r="O48" s="3259"/>
      <c r="P48" s="3259" t="s">
        <v>2972</v>
      </c>
      <c r="Q48" s="3259">
        <v>209934</v>
      </c>
      <c r="R48" s="3273">
        <v>3811</v>
      </c>
      <c r="S48" s="3270">
        <v>26.44</v>
      </c>
      <c r="T48" s="3272">
        <v>264400</v>
      </c>
      <c r="U48" s="3259">
        <v>4800</v>
      </c>
      <c r="V48" s="3271">
        <v>0.2</v>
      </c>
      <c r="W48" s="3270">
        <v>21.15</v>
      </c>
      <c r="X48" s="3269">
        <v>211500</v>
      </c>
      <c r="Y48" s="3259">
        <v>2009</v>
      </c>
      <c r="Z48" s="3259">
        <v>10</v>
      </c>
      <c r="AA48" s="3259">
        <v>27</v>
      </c>
      <c r="AB48" s="3259">
        <v>790</v>
      </c>
      <c r="AC48" s="3259" t="s">
        <v>3140</v>
      </c>
      <c r="AD48" s="3259">
        <v>91162009070176</v>
      </c>
      <c r="AE48" s="3259" t="s">
        <v>3147</v>
      </c>
      <c r="AF48" s="3259" t="s">
        <v>2975</v>
      </c>
      <c r="AG48" s="3259" t="s">
        <v>2976</v>
      </c>
      <c r="AH48" s="3259">
        <v>3799</v>
      </c>
      <c r="AI48" s="3259" t="s">
        <v>3128</v>
      </c>
      <c r="AJ48" s="3259"/>
      <c r="AK48" s="3281" t="s">
        <v>3325</v>
      </c>
      <c r="AL48" s="3259">
        <v>28</v>
      </c>
      <c r="AM48" s="3259"/>
      <c r="AN48" s="3259" t="s">
        <v>3003</v>
      </c>
      <c r="AO48" s="3259"/>
      <c r="AP48" s="3258" t="s">
        <v>3169</v>
      </c>
      <c r="AQ48" s="3276" t="s">
        <v>3125</v>
      </c>
      <c r="AR48" s="3259"/>
      <c r="AS48" s="3259"/>
      <c r="AT48" s="3259"/>
      <c r="AU48" s="3259"/>
      <c r="AV48" s="3259"/>
      <c r="AW48" s="3258" t="s">
        <v>3144</v>
      </c>
      <c r="AX48" s="3259" t="s">
        <v>3159</v>
      </c>
      <c r="AY48" s="3268" t="s">
        <v>3324</v>
      </c>
      <c r="AZ48" s="3259" t="s">
        <v>3323</v>
      </c>
      <c r="BA48" s="3259"/>
      <c r="BB48" s="3268"/>
      <c r="BC48" s="3259"/>
      <c r="BD48" s="3279"/>
      <c r="BE48" s="3259">
        <v>13661043507</v>
      </c>
      <c r="BF48" s="3278"/>
      <c r="BG48" s="3267">
        <v>40009</v>
      </c>
      <c r="BH48" s="3259"/>
      <c r="BI48" s="3258" t="s">
        <v>3169</v>
      </c>
      <c r="BJ48" s="3277">
        <v>40009</v>
      </c>
      <c r="BK48" s="3277"/>
      <c r="BL48" s="3259" t="s">
        <v>3007</v>
      </c>
      <c r="BM48" s="3259" t="s">
        <v>3170</v>
      </c>
      <c r="BN48" s="3259"/>
      <c r="BO48" s="3259" t="s">
        <v>3009</v>
      </c>
      <c r="BP48" s="3259"/>
      <c r="BQ48" s="3258" t="e">
        <v>#DIV/0!</v>
      </c>
      <c r="BR48" s="3258" t="e">
        <v>#DIV/0!</v>
      </c>
      <c r="BS48" s="3257" t="s">
        <v>3169</v>
      </c>
      <c r="BT48" s="3257" t="s">
        <v>3140</v>
      </c>
      <c r="BU48" s="3256"/>
      <c r="BV48" s="3255"/>
    </row>
    <row r="49" spans="1:73">
      <c r="A49" s="3276" t="s">
        <v>3322</v>
      </c>
      <c r="B49" s="3259" t="s">
        <v>3316</v>
      </c>
      <c r="C49" s="3268" t="s">
        <v>3321</v>
      </c>
      <c r="D49" s="3268" t="s">
        <v>3320</v>
      </c>
      <c r="E49" s="3259" t="s">
        <v>3135</v>
      </c>
      <c r="F49" s="3259" t="s">
        <v>3211</v>
      </c>
      <c r="G49" s="3259"/>
      <c r="H49" s="3259" t="s">
        <v>3319</v>
      </c>
      <c r="I49" s="3259" t="s">
        <v>3318</v>
      </c>
      <c r="J49" s="3259" t="s">
        <v>3317</v>
      </c>
      <c r="K49" s="3259" t="s">
        <v>3316</v>
      </c>
      <c r="L49" s="3259">
        <v>133.72999999999999</v>
      </c>
      <c r="M49" s="3259">
        <v>4</v>
      </c>
      <c r="N49" s="3259" t="s">
        <v>3173</v>
      </c>
      <c r="O49" s="3259"/>
      <c r="P49" s="3259" t="s">
        <v>2972</v>
      </c>
      <c r="Q49" s="3259">
        <v>640000</v>
      </c>
      <c r="R49" s="3273">
        <v>4786</v>
      </c>
      <c r="S49" s="3270">
        <v>90.26</v>
      </c>
      <c r="T49" s="3272">
        <v>902600</v>
      </c>
      <c r="U49" s="3259">
        <v>6750</v>
      </c>
      <c r="V49" s="3271">
        <v>0.2</v>
      </c>
      <c r="W49" s="3270">
        <v>72.2</v>
      </c>
      <c r="X49" s="3269">
        <v>722000</v>
      </c>
      <c r="Y49" s="3259">
        <v>2009</v>
      </c>
      <c r="Z49" s="3259">
        <v>9</v>
      </c>
      <c r="AA49" s="3259">
        <v>2</v>
      </c>
      <c r="AB49" s="3259">
        <v>1500</v>
      </c>
      <c r="AC49" s="3259" t="s">
        <v>3140</v>
      </c>
      <c r="AD49" s="3268" t="s">
        <v>3315</v>
      </c>
      <c r="AE49" s="3259" t="s">
        <v>3147</v>
      </c>
      <c r="AF49" s="3259" t="s">
        <v>2975</v>
      </c>
      <c r="AG49" s="3259" t="s">
        <v>2976</v>
      </c>
      <c r="AH49" s="3259">
        <v>7328</v>
      </c>
      <c r="AI49" s="3259" t="s">
        <v>3128</v>
      </c>
      <c r="AJ49" s="3259"/>
      <c r="AK49" s="3266" t="s">
        <v>3289</v>
      </c>
      <c r="AL49" s="3259">
        <v>41</v>
      </c>
      <c r="AM49" s="3259" t="s">
        <v>3314</v>
      </c>
      <c r="AN49" s="3259" t="s">
        <v>3193</v>
      </c>
      <c r="AO49" s="3259"/>
      <c r="AP49" s="3259" t="s">
        <v>3141</v>
      </c>
      <c r="AQ49" s="3259" t="s">
        <v>3125</v>
      </c>
      <c r="AR49" s="3259"/>
      <c r="AS49" s="3259"/>
      <c r="AT49" s="3259"/>
      <c r="AU49" s="3259"/>
      <c r="AV49" s="3259"/>
      <c r="AW49" s="3258" t="s">
        <v>3144</v>
      </c>
      <c r="AX49" s="3259" t="s">
        <v>3159</v>
      </c>
      <c r="AY49" s="3268" t="s">
        <v>3313</v>
      </c>
      <c r="AZ49" s="3259" t="s">
        <v>3312</v>
      </c>
      <c r="BA49" s="3259"/>
      <c r="BB49" s="3268"/>
      <c r="BC49" s="3259"/>
      <c r="BD49" s="3279"/>
      <c r="BE49" s="3259">
        <v>13671365339</v>
      </c>
      <c r="BF49" s="3278"/>
      <c r="BG49" s="3267">
        <v>40038</v>
      </c>
      <c r="BH49" s="3259"/>
      <c r="BI49" s="3259" t="s">
        <v>3141</v>
      </c>
      <c r="BJ49" s="3267">
        <v>40038</v>
      </c>
      <c r="BK49" s="3277"/>
      <c r="BL49" s="3259" t="s">
        <v>3007</v>
      </c>
      <c r="BM49" s="3259" t="s">
        <v>2881</v>
      </c>
      <c r="BN49" s="3259" t="s">
        <v>3122</v>
      </c>
      <c r="BO49" s="3259" t="s">
        <v>3009</v>
      </c>
      <c r="BP49" s="3259"/>
      <c r="BQ49" s="3258" t="e">
        <v>#DIV/0!</v>
      </c>
      <c r="BR49" s="3258" t="e">
        <v>#DIV/0!</v>
      </c>
      <c r="BS49" s="3257" t="s">
        <v>3141</v>
      </c>
      <c r="BT49" s="3257" t="s">
        <v>3140</v>
      </c>
      <c r="BU49" s="3256"/>
    </row>
    <row r="50" spans="1:73" s="3282" customFormat="1">
      <c r="A50" s="3399" t="s">
        <v>3311</v>
      </c>
      <c r="B50" s="3286" t="s">
        <v>3310</v>
      </c>
      <c r="C50" s="3295" t="s">
        <v>3309</v>
      </c>
      <c r="D50" s="3286">
        <v>13811498939</v>
      </c>
      <c r="E50" s="3286" t="s">
        <v>3135</v>
      </c>
      <c r="F50" s="3286" t="s">
        <v>3134</v>
      </c>
      <c r="G50" s="3286"/>
      <c r="H50" s="3286" t="s">
        <v>3228</v>
      </c>
      <c r="I50" s="3286" t="s">
        <v>3165</v>
      </c>
      <c r="J50" s="3286" t="s">
        <v>3308</v>
      </c>
      <c r="K50" s="3286" t="s">
        <v>3307</v>
      </c>
      <c r="L50" s="3286">
        <v>42.09</v>
      </c>
      <c r="M50" s="3286">
        <v>6</v>
      </c>
      <c r="N50" s="3286" t="s">
        <v>3280</v>
      </c>
      <c r="O50" s="3286"/>
      <c r="P50" s="3286" t="s">
        <v>2972</v>
      </c>
      <c r="Q50" s="3286">
        <v>280000</v>
      </c>
      <c r="R50" s="3300">
        <v>6652</v>
      </c>
      <c r="S50" s="3297">
        <v>31.56</v>
      </c>
      <c r="T50" s="3299">
        <v>315600</v>
      </c>
      <c r="U50" s="3286">
        <v>7500</v>
      </c>
      <c r="V50" s="3298">
        <v>0.2</v>
      </c>
      <c r="W50" s="3297">
        <v>25.24</v>
      </c>
      <c r="X50" s="3296">
        <v>252399.99999999997</v>
      </c>
      <c r="Y50" s="3285">
        <v>2009</v>
      </c>
      <c r="Z50" s="3285">
        <v>9</v>
      </c>
      <c r="AA50" s="3286">
        <v>2</v>
      </c>
      <c r="AB50" s="3286">
        <v>945</v>
      </c>
      <c r="AC50" s="3286" t="s">
        <v>3140</v>
      </c>
      <c r="AD50" s="3286">
        <v>91162009080274</v>
      </c>
      <c r="AE50" s="3286" t="s">
        <v>3147</v>
      </c>
      <c r="AF50" s="3286" t="s">
        <v>2975</v>
      </c>
      <c r="AG50" s="3286" t="s">
        <v>2976</v>
      </c>
      <c r="AH50" s="3286">
        <v>8125</v>
      </c>
      <c r="AI50" s="3286" t="s">
        <v>3128</v>
      </c>
      <c r="AJ50" s="3286"/>
      <c r="AK50" s="3292" t="s">
        <v>3289</v>
      </c>
      <c r="AL50" s="3286">
        <v>31</v>
      </c>
      <c r="AM50" s="3286"/>
      <c r="AN50" s="3285" t="s">
        <v>3193</v>
      </c>
      <c r="AO50" s="3286"/>
      <c r="AP50" s="3285" t="s">
        <v>3169</v>
      </c>
      <c r="AQ50" s="3286" t="s">
        <v>3125</v>
      </c>
      <c r="AR50" s="3286"/>
      <c r="AS50" s="3286"/>
      <c r="AT50" s="3286"/>
      <c r="AU50" s="3286"/>
      <c r="AV50" s="3286"/>
      <c r="AW50" s="3285" t="s">
        <v>3144</v>
      </c>
      <c r="AX50" s="3285" t="s">
        <v>3159</v>
      </c>
      <c r="AY50" s="3295" t="s">
        <v>3306</v>
      </c>
      <c r="AZ50" s="3286"/>
      <c r="BA50" s="3286"/>
      <c r="BB50" s="3295"/>
      <c r="BC50" s="3286"/>
      <c r="BD50" s="3400"/>
      <c r="BE50" s="3286"/>
      <c r="BF50" s="3401"/>
      <c r="BG50" s="3293">
        <v>40045</v>
      </c>
      <c r="BH50" s="3286"/>
      <c r="BI50" s="3285" t="s">
        <v>3169</v>
      </c>
      <c r="BJ50" s="3319">
        <v>40045</v>
      </c>
      <c r="BK50" s="3319"/>
      <c r="BL50" s="3286" t="s">
        <v>3007</v>
      </c>
      <c r="BM50" s="3286" t="s">
        <v>2881</v>
      </c>
      <c r="BN50" s="3286"/>
      <c r="BO50" s="3286" t="s">
        <v>3009</v>
      </c>
      <c r="BP50" s="3286"/>
      <c r="BQ50" s="3285" t="e">
        <v>#DIV/0!</v>
      </c>
      <c r="BR50" s="3285" t="e">
        <v>#DIV/0!</v>
      </c>
      <c r="BS50" s="3284" t="s">
        <v>3169</v>
      </c>
      <c r="BT50" s="3284" t="s">
        <v>3140</v>
      </c>
      <c r="BU50" s="3283"/>
    </row>
    <row r="51" spans="1:73">
      <c r="A51" s="3276" t="s">
        <v>3305</v>
      </c>
      <c r="B51" s="3259" t="s">
        <v>3299</v>
      </c>
      <c r="C51" s="3268" t="s">
        <v>3304</v>
      </c>
      <c r="D51" s="3268" t="s">
        <v>3303</v>
      </c>
      <c r="E51" s="3259" t="s">
        <v>3135</v>
      </c>
      <c r="F51" s="3259" t="s">
        <v>3211</v>
      </c>
      <c r="G51" s="3259"/>
      <c r="H51" s="3259" t="s">
        <v>3302</v>
      </c>
      <c r="I51" s="3259" t="s">
        <v>3301</v>
      </c>
      <c r="J51" s="3259" t="s">
        <v>3300</v>
      </c>
      <c r="K51" s="3259" t="s">
        <v>3299</v>
      </c>
      <c r="L51" s="3259">
        <v>67.98</v>
      </c>
      <c r="M51" s="3259">
        <v>6</v>
      </c>
      <c r="N51" s="3259" t="s">
        <v>3149</v>
      </c>
      <c r="O51" s="3259"/>
      <c r="P51" s="3259" t="s">
        <v>2972</v>
      </c>
      <c r="Q51" s="3259">
        <v>470000</v>
      </c>
      <c r="R51" s="3273">
        <v>6914</v>
      </c>
      <c r="S51" s="3270">
        <v>46.22</v>
      </c>
      <c r="T51" s="3272">
        <v>462200</v>
      </c>
      <c r="U51" s="3259">
        <v>6800</v>
      </c>
      <c r="V51" s="3271">
        <v>0.2</v>
      </c>
      <c r="W51" s="3270">
        <v>36.97</v>
      </c>
      <c r="X51" s="3269">
        <v>369700</v>
      </c>
      <c r="Y51" s="3259">
        <v>2009</v>
      </c>
      <c r="Z51" s="3259">
        <v>9</v>
      </c>
      <c r="AA51" s="3259">
        <v>2</v>
      </c>
      <c r="AB51" s="3259">
        <v>1385</v>
      </c>
      <c r="AC51" s="3259" t="s">
        <v>3140</v>
      </c>
      <c r="AD51" s="3268" t="s">
        <v>3298</v>
      </c>
      <c r="AE51" s="3259" t="s">
        <v>3147</v>
      </c>
      <c r="AF51" s="3259" t="s">
        <v>2975</v>
      </c>
      <c r="AG51" s="3259" t="s">
        <v>2976</v>
      </c>
      <c r="AH51" s="3259"/>
      <c r="AI51" s="3259" t="s">
        <v>3128</v>
      </c>
      <c r="AJ51" s="3259"/>
      <c r="AK51" s="3266" t="s">
        <v>3289</v>
      </c>
      <c r="AL51" s="3259">
        <v>38</v>
      </c>
      <c r="AM51" s="3259" t="s">
        <v>3297</v>
      </c>
      <c r="AN51" s="3259" t="s">
        <v>3193</v>
      </c>
      <c r="AO51" s="3259"/>
      <c r="AP51" s="3259" t="s">
        <v>3141</v>
      </c>
      <c r="AQ51" s="3259" t="s">
        <v>3125</v>
      </c>
      <c r="AR51" s="3259"/>
      <c r="AS51" s="3259"/>
      <c r="AT51" s="3259"/>
      <c r="AU51" s="3259"/>
      <c r="AV51" s="3259"/>
      <c r="AW51" s="3258" t="s">
        <v>3144</v>
      </c>
      <c r="AX51" s="3259" t="s">
        <v>955</v>
      </c>
      <c r="AY51" s="3268" t="s">
        <v>3296</v>
      </c>
      <c r="AZ51" s="3259" t="s">
        <v>3295</v>
      </c>
      <c r="BA51" s="3259"/>
      <c r="BB51" s="3268"/>
      <c r="BC51" s="3259"/>
      <c r="BD51" s="3279"/>
      <c r="BE51" s="3259">
        <v>13716925519</v>
      </c>
      <c r="BF51" s="3278"/>
      <c r="BG51" s="3267">
        <v>40044</v>
      </c>
      <c r="BH51" s="3259"/>
      <c r="BI51" s="3259" t="s">
        <v>3141</v>
      </c>
      <c r="BJ51" s="3277">
        <v>40045</v>
      </c>
      <c r="BK51" s="3277"/>
      <c r="BL51" s="3259" t="s">
        <v>3007</v>
      </c>
      <c r="BM51" s="3259" t="s">
        <v>2881</v>
      </c>
      <c r="BN51" s="3259" t="s">
        <v>3008</v>
      </c>
      <c r="BO51" s="3259" t="s">
        <v>3009</v>
      </c>
      <c r="BP51" s="3259"/>
      <c r="BQ51" s="3258" t="e">
        <v>#DIV/0!</v>
      </c>
      <c r="BR51" s="3258" t="e">
        <v>#DIV/0!</v>
      </c>
      <c r="BS51" s="3257" t="s">
        <v>3141</v>
      </c>
      <c r="BT51" s="3257" t="s">
        <v>3140</v>
      </c>
      <c r="BU51" s="3256"/>
    </row>
    <row r="52" spans="1:73">
      <c r="A52" s="3276" t="s">
        <v>3294</v>
      </c>
      <c r="B52" s="3259" t="s">
        <v>3293</v>
      </c>
      <c r="C52" s="3268" t="s">
        <v>3292</v>
      </c>
      <c r="D52" s="3259">
        <v>13521306808</v>
      </c>
      <c r="E52" s="3259" t="s">
        <v>3135</v>
      </c>
      <c r="F52" s="3259" t="s">
        <v>3118</v>
      </c>
      <c r="G52" s="3259"/>
      <c r="H52" s="3259" t="s">
        <v>3187</v>
      </c>
      <c r="I52" s="3259" t="s">
        <v>3291</v>
      </c>
      <c r="J52" s="3259" t="s">
        <v>3131</v>
      </c>
      <c r="K52" s="3259" t="s">
        <v>3287</v>
      </c>
      <c r="L52" s="3259">
        <v>53.95</v>
      </c>
      <c r="M52" s="3268" t="s">
        <v>3290</v>
      </c>
      <c r="N52" s="3259" t="s">
        <v>3280</v>
      </c>
      <c r="O52" s="3259"/>
      <c r="P52" s="3259" t="s">
        <v>2972</v>
      </c>
      <c r="Q52" s="3259">
        <v>450000</v>
      </c>
      <c r="R52" s="3273">
        <v>8341</v>
      </c>
      <c r="S52" s="3270">
        <v>37.520000000000003</v>
      </c>
      <c r="T52" s="3272">
        <v>375200.00000000006</v>
      </c>
      <c r="U52" s="3259">
        <v>6955</v>
      </c>
      <c r="V52" s="3271">
        <v>0.2</v>
      </c>
      <c r="W52" s="3270">
        <v>30.01</v>
      </c>
      <c r="X52" s="3269">
        <v>300100</v>
      </c>
      <c r="Y52" s="3258">
        <v>2009</v>
      </c>
      <c r="Z52" s="3258">
        <v>9</v>
      </c>
      <c r="AA52" s="3259">
        <v>23</v>
      </c>
      <c r="AB52" s="3259">
        <v>1125</v>
      </c>
      <c r="AC52" s="3259" t="s">
        <v>3140</v>
      </c>
      <c r="AD52" s="3259">
        <v>91162009090104</v>
      </c>
      <c r="AE52" s="3259" t="s">
        <v>3129</v>
      </c>
      <c r="AF52" s="3259" t="s">
        <v>2975</v>
      </c>
      <c r="AG52" s="3265" t="s">
        <v>2976</v>
      </c>
      <c r="AH52" s="3259"/>
      <c r="AI52" s="3259" t="s">
        <v>3128</v>
      </c>
      <c r="AJ52" s="3259"/>
      <c r="AK52" s="3266" t="s">
        <v>3289</v>
      </c>
      <c r="AL52" s="3259">
        <v>29</v>
      </c>
      <c r="AM52" s="3259">
        <v>8341</v>
      </c>
      <c r="AN52" s="3259" t="s">
        <v>3003</v>
      </c>
      <c r="AO52" s="3259"/>
      <c r="AP52" s="3258" t="s">
        <v>3169</v>
      </c>
      <c r="AQ52" s="3259" t="s">
        <v>3125</v>
      </c>
      <c r="AR52" s="3259"/>
      <c r="AS52" s="3259"/>
      <c r="AT52" s="3259"/>
      <c r="AU52" s="3259"/>
      <c r="AV52" s="3259"/>
      <c r="AW52" s="3259" t="s">
        <v>3144</v>
      </c>
      <c r="AX52" s="3259" t="s">
        <v>955</v>
      </c>
      <c r="AY52" s="3268" t="s">
        <v>3288</v>
      </c>
      <c r="AZ52" s="3259" t="s">
        <v>3287</v>
      </c>
      <c r="BA52" s="3259"/>
      <c r="BB52" s="3268"/>
      <c r="BC52" s="3259"/>
      <c r="BD52" s="3279"/>
      <c r="BE52" s="3259"/>
      <c r="BF52" s="3278"/>
      <c r="BG52" s="3267">
        <v>40063</v>
      </c>
      <c r="BH52" s="3259"/>
      <c r="BI52" s="3258" t="s">
        <v>3169</v>
      </c>
      <c r="BJ52" s="3277">
        <v>40064</v>
      </c>
      <c r="BK52" s="3277"/>
      <c r="BL52" s="3259" t="s">
        <v>3007</v>
      </c>
      <c r="BM52" s="3258" t="s">
        <v>2881</v>
      </c>
      <c r="BN52" s="3259"/>
      <c r="BO52" s="3259" t="s">
        <v>3009</v>
      </c>
      <c r="BP52" s="3259"/>
      <c r="BQ52" s="3258" t="e">
        <v>#DIV/0!</v>
      </c>
      <c r="BR52" s="3258" t="e">
        <v>#DIV/0!</v>
      </c>
      <c r="BS52" s="3257" t="s">
        <v>3169</v>
      </c>
      <c r="BT52" s="3257" t="s">
        <v>3140</v>
      </c>
      <c r="BU52" s="3256"/>
    </row>
    <row r="53" spans="1:73">
      <c r="A53" s="3276" t="s">
        <v>3286</v>
      </c>
      <c r="B53" s="3259" t="s">
        <v>3281</v>
      </c>
      <c r="C53" s="3268" t="s">
        <v>3285</v>
      </c>
      <c r="D53" s="3268" t="s">
        <v>3284</v>
      </c>
      <c r="E53" s="3259" t="s">
        <v>3135</v>
      </c>
      <c r="F53" s="3259" t="s">
        <v>3211</v>
      </c>
      <c r="G53" s="3259"/>
      <c r="H53" s="3259" t="s">
        <v>3106</v>
      </c>
      <c r="I53" s="3259" t="s">
        <v>3283</v>
      </c>
      <c r="J53" s="3268" t="s">
        <v>3282</v>
      </c>
      <c r="K53" s="3259" t="s">
        <v>3281</v>
      </c>
      <c r="L53" s="3259">
        <v>38.159999999999997</v>
      </c>
      <c r="M53" s="3259">
        <v>1</v>
      </c>
      <c r="N53" s="3259" t="s">
        <v>3280</v>
      </c>
      <c r="O53" s="3259"/>
      <c r="P53" s="3259" t="s">
        <v>2972</v>
      </c>
      <c r="Q53" s="3274">
        <v>250000</v>
      </c>
      <c r="R53" s="3273">
        <v>6551</v>
      </c>
      <c r="S53" s="3270">
        <v>28.81</v>
      </c>
      <c r="T53" s="3272">
        <v>288100</v>
      </c>
      <c r="U53" s="3259">
        <v>7550</v>
      </c>
      <c r="V53" s="3271">
        <v>0.2</v>
      </c>
      <c r="W53" s="3270">
        <v>23.04</v>
      </c>
      <c r="X53" s="3269">
        <v>230400</v>
      </c>
      <c r="Y53" s="3259">
        <v>2009</v>
      </c>
      <c r="Z53" s="3258">
        <v>9</v>
      </c>
      <c r="AA53" s="3258">
        <v>16</v>
      </c>
      <c r="AB53" s="3259">
        <v>860</v>
      </c>
      <c r="AC53" s="3259" t="s">
        <v>3140</v>
      </c>
      <c r="AD53" s="3268" t="s">
        <v>3279</v>
      </c>
      <c r="AE53" s="3258" t="s">
        <v>3147</v>
      </c>
      <c r="AF53" s="3259" t="s">
        <v>2975</v>
      </c>
      <c r="AG53" s="3259" t="s">
        <v>2976</v>
      </c>
      <c r="AH53" s="3259">
        <v>8857</v>
      </c>
      <c r="AI53" s="3259" t="s">
        <v>3128</v>
      </c>
      <c r="AJ53" s="3267"/>
      <c r="AK53" s="3266">
        <v>9</v>
      </c>
      <c r="AL53" s="3258">
        <v>32</v>
      </c>
      <c r="AM53" s="3258" t="s">
        <v>3278</v>
      </c>
      <c r="AN53" s="3258" t="s">
        <v>3126</v>
      </c>
      <c r="AO53" s="3258"/>
      <c r="AP53" s="3259" t="s">
        <v>3141</v>
      </c>
      <c r="AQ53" s="3259" t="s">
        <v>3125</v>
      </c>
      <c r="AR53" s="3258"/>
      <c r="AS53" s="3258"/>
      <c r="AT53" s="3258"/>
      <c r="AU53" s="3258"/>
      <c r="AV53" s="3258"/>
      <c r="AW53" s="3259" t="s">
        <v>3144</v>
      </c>
      <c r="AX53" s="3258" t="s">
        <v>955</v>
      </c>
      <c r="AY53" s="3264" t="s">
        <v>3277</v>
      </c>
      <c r="AZ53" s="3258" t="s">
        <v>3276</v>
      </c>
      <c r="BA53" s="3258"/>
      <c r="BB53" s="3264"/>
      <c r="BC53" s="3258"/>
      <c r="BD53" s="3263"/>
      <c r="BE53" s="3258">
        <v>13501100216</v>
      </c>
      <c r="BF53" s="3262"/>
      <c r="BG53" s="3261">
        <v>40064</v>
      </c>
      <c r="BH53" s="3258"/>
      <c r="BI53" s="3259" t="s">
        <v>3141</v>
      </c>
      <c r="BJ53" s="3260">
        <v>40065</v>
      </c>
      <c r="BK53" s="3260"/>
      <c r="BL53" s="3259" t="s">
        <v>3007</v>
      </c>
      <c r="BM53" s="3258" t="s">
        <v>2881</v>
      </c>
      <c r="BN53" s="3258" t="s">
        <v>3008</v>
      </c>
      <c r="BO53" s="3259" t="s">
        <v>3009</v>
      </c>
      <c r="BP53" s="3258"/>
      <c r="BQ53" s="3258" t="e">
        <v>#DIV/0!</v>
      </c>
      <c r="BR53" s="3258" t="e">
        <v>#DIV/0!</v>
      </c>
      <c r="BS53" s="3257" t="s">
        <v>3141</v>
      </c>
      <c r="BT53" s="3257" t="s">
        <v>3140</v>
      </c>
      <c r="BU53" s="3256"/>
    </row>
    <row r="54" spans="1:73">
      <c r="A54" s="3259" t="s">
        <v>3275</v>
      </c>
      <c r="B54" s="3259" t="s">
        <v>3272</v>
      </c>
      <c r="C54" s="3268" t="s">
        <v>3274</v>
      </c>
      <c r="D54" s="3259">
        <v>13811336704</v>
      </c>
      <c r="E54" s="3259" t="s">
        <v>3135</v>
      </c>
      <c r="F54" s="3259" t="s">
        <v>3154</v>
      </c>
      <c r="G54" s="3259"/>
      <c r="H54" s="3259" t="s">
        <v>3133</v>
      </c>
      <c r="I54" s="3259" t="s">
        <v>3254</v>
      </c>
      <c r="J54" s="3259" t="s">
        <v>3273</v>
      </c>
      <c r="K54" s="3259" t="s">
        <v>3272</v>
      </c>
      <c r="L54" s="3259">
        <v>55.78</v>
      </c>
      <c r="M54" s="3259">
        <v>5</v>
      </c>
      <c r="N54" s="3259" t="s">
        <v>3149</v>
      </c>
      <c r="O54" s="3259"/>
      <c r="P54" s="3259" t="s">
        <v>2972</v>
      </c>
      <c r="Q54" s="3259">
        <v>445000</v>
      </c>
      <c r="R54" s="3273">
        <v>7978</v>
      </c>
      <c r="S54" s="3270">
        <v>40.71</v>
      </c>
      <c r="T54" s="3272">
        <v>407100</v>
      </c>
      <c r="U54" s="3259">
        <v>7300</v>
      </c>
      <c r="V54" s="3271">
        <v>0.2</v>
      </c>
      <c r="W54" s="3270">
        <v>32.56</v>
      </c>
      <c r="X54" s="3269">
        <v>325600</v>
      </c>
      <c r="Y54" s="3259">
        <v>2009</v>
      </c>
      <c r="Z54" s="3259">
        <v>10</v>
      </c>
      <c r="AA54" s="3259">
        <v>28</v>
      </c>
      <c r="AB54" s="3259">
        <v>1220</v>
      </c>
      <c r="AC54" s="3259" t="s">
        <v>3140</v>
      </c>
      <c r="AD54" s="3268" t="s">
        <v>3271</v>
      </c>
      <c r="AE54" s="3259" t="s">
        <v>3147</v>
      </c>
      <c r="AF54" s="3259" t="s">
        <v>2975</v>
      </c>
      <c r="AG54" s="3259" t="s">
        <v>2976</v>
      </c>
      <c r="AH54" s="3259"/>
      <c r="AI54" s="3259" t="s">
        <v>3128</v>
      </c>
      <c r="AJ54" s="3259"/>
      <c r="AK54" s="3259" t="s">
        <v>3262</v>
      </c>
      <c r="AL54" s="3259">
        <v>32</v>
      </c>
      <c r="AM54" s="3259" t="s">
        <v>3270</v>
      </c>
      <c r="AN54" s="3259" t="s">
        <v>3003</v>
      </c>
      <c r="AO54" s="3259"/>
      <c r="AP54" s="3259" t="s">
        <v>3141</v>
      </c>
      <c r="AQ54" s="3276" t="s">
        <v>3125</v>
      </c>
      <c r="AR54" s="3259"/>
      <c r="AS54" s="3259"/>
      <c r="AT54" s="3259"/>
      <c r="AU54" s="3259"/>
      <c r="AV54" s="3259"/>
      <c r="AW54" s="3258" t="s">
        <v>3144</v>
      </c>
      <c r="AX54" s="3259" t="s">
        <v>955</v>
      </c>
      <c r="AY54" s="3268" t="s">
        <v>3269</v>
      </c>
      <c r="AZ54" s="3259" t="s">
        <v>3268</v>
      </c>
      <c r="BA54" s="3259"/>
      <c r="BB54" s="3268"/>
      <c r="BC54" s="3259"/>
      <c r="BD54" s="3279"/>
      <c r="BE54" s="3259">
        <v>13701158267</v>
      </c>
      <c r="BF54" s="3278"/>
      <c r="BG54" s="3267">
        <v>40073</v>
      </c>
      <c r="BH54" s="3259"/>
      <c r="BI54" s="3259" t="s">
        <v>3141</v>
      </c>
      <c r="BJ54" s="3277">
        <v>40073</v>
      </c>
      <c r="BK54" s="3277"/>
      <c r="BL54" s="3259" t="s">
        <v>3007</v>
      </c>
      <c r="BM54" s="3259" t="s">
        <v>2881</v>
      </c>
      <c r="BN54" s="3259" t="s">
        <v>3008</v>
      </c>
      <c r="BO54" s="3258" t="s">
        <v>3009</v>
      </c>
      <c r="BP54" s="3259"/>
      <c r="BQ54" s="3258" t="e">
        <v>#DIV/0!</v>
      </c>
      <c r="BR54" s="3258" t="e">
        <v>#DIV/0!</v>
      </c>
      <c r="BS54" s="3257" t="s">
        <v>3141</v>
      </c>
      <c r="BT54" s="3257" t="s">
        <v>3140</v>
      </c>
      <c r="BU54" s="3256"/>
    </row>
    <row r="55" spans="1:73">
      <c r="A55" s="3259" t="s">
        <v>3267</v>
      </c>
      <c r="B55" s="3259" t="s">
        <v>3263</v>
      </c>
      <c r="C55" s="3268" t="s">
        <v>3266</v>
      </c>
      <c r="D55" s="3259">
        <v>13716925519</v>
      </c>
      <c r="E55" s="3259" t="s">
        <v>3135</v>
      </c>
      <c r="F55" s="3259" t="s">
        <v>3211</v>
      </c>
      <c r="G55" s="3259"/>
      <c r="H55" s="3259" t="s">
        <v>3265</v>
      </c>
      <c r="I55" s="3259" t="s">
        <v>3174</v>
      </c>
      <c r="J55" s="3259" t="s">
        <v>3264</v>
      </c>
      <c r="K55" s="3259" t="s">
        <v>3263</v>
      </c>
      <c r="L55" s="3259">
        <v>115.27</v>
      </c>
      <c r="M55" s="3259">
        <v>6</v>
      </c>
      <c r="N55" s="3259" t="s">
        <v>2998</v>
      </c>
      <c r="O55" s="3259"/>
      <c r="P55" s="3259" t="s">
        <v>2972</v>
      </c>
      <c r="Q55" s="3259">
        <v>350000</v>
      </c>
      <c r="R55" s="3273">
        <v>3036</v>
      </c>
      <c r="S55" s="3270">
        <v>82.41</v>
      </c>
      <c r="T55" s="3272">
        <v>824100</v>
      </c>
      <c r="U55" s="3259">
        <v>7150</v>
      </c>
      <c r="V55" s="3271">
        <v>0.2</v>
      </c>
      <c r="W55" s="3270">
        <v>65.92</v>
      </c>
      <c r="X55" s="3269">
        <v>659200</v>
      </c>
      <c r="Y55" s="3259">
        <v>2009</v>
      </c>
      <c r="Z55" s="3259">
        <v>10</v>
      </c>
      <c r="AA55" s="3259">
        <v>20</v>
      </c>
      <c r="AB55" s="3259">
        <v>1500</v>
      </c>
      <c r="AC55" s="3259" t="s">
        <v>3140</v>
      </c>
      <c r="AD55" s="3259">
        <v>91162009090260</v>
      </c>
      <c r="AE55" s="3259" t="s">
        <v>3147</v>
      </c>
      <c r="AF55" s="3259" t="s">
        <v>2975</v>
      </c>
      <c r="AG55" s="3259" t="s">
        <v>2976</v>
      </c>
      <c r="AH55" s="3259">
        <v>6593</v>
      </c>
      <c r="AI55" s="3259" t="s">
        <v>3128</v>
      </c>
      <c r="AJ55" s="3259"/>
      <c r="AK55" s="3259" t="s">
        <v>3262</v>
      </c>
      <c r="AL55" s="3259">
        <v>38</v>
      </c>
      <c r="AM55" s="3259" t="s">
        <v>3261</v>
      </c>
      <c r="AN55" s="3259" t="s">
        <v>3126</v>
      </c>
      <c r="AO55" s="3259"/>
      <c r="AP55" s="3265" t="s">
        <v>3258</v>
      </c>
      <c r="AQ55" s="3276" t="s">
        <v>3125</v>
      </c>
      <c r="AR55" s="3259"/>
      <c r="AS55" s="3259"/>
      <c r="AT55" s="3259"/>
      <c r="AU55" s="3259"/>
      <c r="AV55" s="3259"/>
      <c r="AW55" s="3259" t="s">
        <v>3144</v>
      </c>
      <c r="AX55" s="3259"/>
      <c r="AY55" s="3268"/>
      <c r="AZ55" s="3259" t="s">
        <v>3260</v>
      </c>
      <c r="BA55" s="3259"/>
      <c r="BB55" s="3268"/>
      <c r="BC55" s="3259"/>
      <c r="BD55" s="3279"/>
      <c r="BE55" s="3259">
        <v>13581699891</v>
      </c>
      <c r="BF55" s="3278"/>
      <c r="BG55" s="3267">
        <v>40078</v>
      </c>
      <c r="BH55" s="3259"/>
      <c r="BI55" s="3259" t="s">
        <v>3258</v>
      </c>
      <c r="BJ55" s="3277">
        <v>40080</v>
      </c>
      <c r="BK55" s="3277"/>
      <c r="BL55" s="3259" t="s">
        <v>3007</v>
      </c>
      <c r="BM55" s="3259" t="s">
        <v>3170</v>
      </c>
      <c r="BN55" s="3259" t="s">
        <v>3008</v>
      </c>
      <c r="BO55" s="3259" t="s">
        <v>3259</v>
      </c>
      <c r="BP55" s="3259"/>
      <c r="BQ55" s="3258" t="e">
        <v>#DIV/0!</v>
      </c>
      <c r="BR55" s="3258" t="e">
        <v>#DIV/0!</v>
      </c>
      <c r="BS55" s="3257" t="s">
        <v>3258</v>
      </c>
      <c r="BT55" s="3257" t="s">
        <v>3140</v>
      </c>
      <c r="BU55" s="3256"/>
    </row>
    <row r="56" spans="1:73">
      <c r="A56" s="3259" t="s">
        <v>3257</v>
      </c>
      <c r="B56" s="3259" t="s">
        <v>3256</v>
      </c>
      <c r="C56" s="3268" t="s">
        <v>3255</v>
      </c>
      <c r="D56" s="3259">
        <v>13911193011</v>
      </c>
      <c r="E56" s="3259" t="s">
        <v>3135</v>
      </c>
      <c r="F56" s="3259" t="s">
        <v>3188</v>
      </c>
      <c r="G56" s="3259"/>
      <c r="H56" s="3259" t="s">
        <v>3228</v>
      </c>
      <c r="I56" s="3259" t="s">
        <v>3254</v>
      </c>
      <c r="J56" s="3259" t="s">
        <v>3253</v>
      </c>
      <c r="K56" s="3259" t="s">
        <v>3251</v>
      </c>
      <c r="L56" s="3280">
        <v>78.72</v>
      </c>
      <c r="M56" s="3259">
        <v>5</v>
      </c>
      <c r="N56" s="3259" t="s">
        <v>3149</v>
      </c>
      <c r="O56" s="3259"/>
      <c r="P56" s="3259" t="s">
        <v>2972</v>
      </c>
      <c r="Q56" s="3259">
        <v>320000</v>
      </c>
      <c r="R56" s="3273">
        <v>4065</v>
      </c>
      <c r="S56" s="3270">
        <v>47.27</v>
      </c>
      <c r="T56" s="3272">
        <v>472700.00000000006</v>
      </c>
      <c r="U56" s="3259">
        <v>6005</v>
      </c>
      <c r="V56" s="3271">
        <v>0.2</v>
      </c>
      <c r="W56" s="3270">
        <v>37.81</v>
      </c>
      <c r="X56" s="3269">
        <v>378100</v>
      </c>
      <c r="Y56" s="3259">
        <v>2009</v>
      </c>
      <c r="Z56" s="3259">
        <v>11</v>
      </c>
      <c r="AA56" s="3259">
        <v>27</v>
      </c>
      <c r="AB56" s="3259">
        <v>1415</v>
      </c>
      <c r="AC56" s="3259" t="s">
        <v>3140</v>
      </c>
      <c r="AD56" s="3259">
        <v>91162009090286</v>
      </c>
      <c r="AE56" s="3259" t="s">
        <v>3147</v>
      </c>
      <c r="AF56" s="3259" t="s">
        <v>2975</v>
      </c>
      <c r="AG56" s="3259" t="s">
        <v>2976</v>
      </c>
      <c r="AH56" s="3259">
        <v>7558</v>
      </c>
      <c r="AI56" s="3259" t="s">
        <v>3128</v>
      </c>
      <c r="AJ56" s="3267"/>
      <c r="AK56" s="3259" t="s">
        <v>3218</v>
      </c>
      <c r="AL56" s="3259">
        <v>28</v>
      </c>
      <c r="AM56" s="3259"/>
      <c r="AN56" s="3259" t="s">
        <v>3003</v>
      </c>
      <c r="AO56" s="3259"/>
      <c r="AP56" s="3259" t="s">
        <v>3169</v>
      </c>
      <c r="AQ56" s="3259" t="s">
        <v>3125</v>
      </c>
      <c r="AR56" s="3259"/>
      <c r="AS56" s="3259"/>
      <c r="AT56" s="3259"/>
      <c r="AU56" s="3259"/>
      <c r="AV56" s="3259"/>
      <c r="AW56" s="3259" t="s">
        <v>3144</v>
      </c>
      <c r="AX56" s="3259" t="s">
        <v>955</v>
      </c>
      <c r="AY56" s="3268" t="s">
        <v>3252</v>
      </c>
      <c r="AZ56" s="3259" t="s">
        <v>3251</v>
      </c>
      <c r="BA56" s="3259"/>
      <c r="BB56" s="3268"/>
      <c r="BC56" s="3259"/>
      <c r="BD56" s="3279"/>
      <c r="BE56" s="3259">
        <v>13910973901</v>
      </c>
      <c r="BF56" s="3278"/>
      <c r="BG56" s="3267">
        <v>40083</v>
      </c>
      <c r="BH56" s="3259"/>
      <c r="BI56" s="3259" t="s">
        <v>3169</v>
      </c>
      <c r="BJ56" s="3267">
        <v>40083</v>
      </c>
      <c r="BK56" s="3277"/>
      <c r="BL56" s="3259" t="s">
        <v>3007</v>
      </c>
      <c r="BM56" s="3259" t="s">
        <v>2881</v>
      </c>
      <c r="BN56" s="3259"/>
      <c r="BO56" s="3259" t="s">
        <v>3009</v>
      </c>
      <c r="BP56" s="3259"/>
      <c r="BQ56" s="3258" t="e">
        <v>#DIV/0!</v>
      </c>
      <c r="BR56" s="3258" t="e">
        <v>#DIV/0!</v>
      </c>
      <c r="BS56" s="3257" t="s">
        <v>3169</v>
      </c>
      <c r="BT56" s="3257" t="s">
        <v>3140</v>
      </c>
      <c r="BU56" s="3256"/>
    </row>
    <row r="57" spans="1:73">
      <c r="A57" s="3276" t="s">
        <v>3250</v>
      </c>
      <c r="B57" s="3259" t="s">
        <v>3245</v>
      </c>
      <c r="C57" s="3268" t="s">
        <v>3249</v>
      </c>
      <c r="D57" s="3259">
        <v>13581516349</v>
      </c>
      <c r="E57" s="3259" t="s">
        <v>3135</v>
      </c>
      <c r="F57" s="3259" t="s">
        <v>3154</v>
      </c>
      <c r="G57" s="3259"/>
      <c r="H57" s="3259" t="s">
        <v>3248</v>
      </c>
      <c r="I57" s="3259" t="s">
        <v>3247</v>
      </c>
      <c r="J57" s="3259" t="s">
        <v>3246</v>
      </c>
      <c r="K57" s="3259" t="s">
        <v>3245</v>
      </c>
      <c r="L57" s="3280">
        <v>79.930000000000007</v>
      </c>
      <c r="M57" s="3259">
        <v>5</v>
      </c>
      <c r="N57" s="3259" t="s">
        <v>3162</v>
      </c>
      <c r="O57" s="3259"/>
      <c r="P57" s="3259" t="s">
        <v>2972</v>
      </c>
      <c r="Q57" s="3259">
        <v>675000</v>
      </c>
      <c r="R57" s="3273">
        <v>8445</v>
      </c>
      <c r="S57" s="3270">
        <v>60.74</v>
      </c>
      <c r="T57" s="3272">
        <v>607400</v>
      </c>
      <c r="U57" s="3259">
        <v>7600</v>
      </c>
      <c r="V57" s="3271">
        <v>0.2</v>
      </c>
      <c r="W57" s="3270">
        <v>48.59</v>
      </c>
      <c r="X57" s="3269">
        <v>485900.00000000006</v>
      </c>
      <c r="Y57" s="3259">
        <v>2009</v>
      </c>
      <c r="Z57" s="3259">
        <v>11</v>
      </c>
      <c r="AA57" s="3258">
        <v>10</v>
      </c>
      <c r="AB57" s="3259">
        <v>1500</v>
      </c>
      <c r="AC57" s="3259" t="s">
        <v>3140</v>
      </c>
      <c r="AD57" s="3268" t="s">
        <v>3244</v>
      </c>
      <c r="AE57" s="3259" t="s">
        <v>3147</v>
      </c>
      <c r="AF57" s="3259" t="s">
        <v>2975</v>
      </c>
      <c r="AG57" s="3259" t="s">
        <v>2976</v>
      </c>
      <c r="AH57" s="3259"/>
      <c r="AI57" s="3259" t="s">
        <v>3128</v>
      </c>
      <c r="AJ57" s="3259"/>
      <c r="AK57" s="3259" t="s">
        <v>3218</v>
      </c>
      <c r="AL57" s="3259">
        <v>38</v>
      </c>
      <c r="AM57" s="3259" t="s">
        <v>3243</v>
      </c>
      <c r="AN57" s="3258" t="s">
        <v>3234</v>
      </c>
      <c r="AO57" s="3259"/>
      <c r="AP57" s="3259" t="s">
        <v>3141</v>
      </c>
      <c r="AQ57" s="3259" t="s">
        <v>3125</v>
      </c>
      <c r="AR57" s="3259"/>
      <c r="AS57" s="3259"/>
      <c r="AT57" s="3259"/>
      <c r="AU57" s="3259"/>
      <c r="AV57" s="3259"/>
      <c r="AW57" s="3258" t="s">
        <v>3144</v>
      </c>
      <c r="AX57" s="3259" t="s">
        <v>955</v>
      </c>
      <c r="AY57" s="3268" t="s">
        <v>3242</v>
      </c>
      <c r="AZ57" s="3259" t="s">
        <v>3241</v>
      </c>
      <c r="BA57" s="3259"/>
      <c r="BB57" s="3268"/>
      <c r="BC57" s="3259"/>
      <c r="BD57" s="3279"/>
      <c r="BE57" s="3259">
        <v>15001307656</v>
      </c>
      <c r="BF57" s="3278"/>
      <c r="BG57" s="3267">
        <v>40114</v>
      </c>
      <c r="BH57" s="3259"/>
      <c r="BI57" s="3259" t="s">
        <v>3141</v>
      </c>
      <c r="BJ57" s="3260">
        <v>40114</v>
      </c>
      <c r="BK57" s="3277"/>
      <c r="BL57" s="3259" t="s">
        <v>3007</v>
      </c>
      <c r="BM57" s="3258" t="s">
        <v>2881</v>
      </c>
      <c r="BN57" s="3258" t="s">
        <v>3008</v>
      </c>
      <c r="BO57" s="3259" t="s">
        <v>3009</v>
      </c>
      <c r="BP57" s="3259"/>
      <c r="BQ57" s="3258" t="e">
        <v>#DIV/0!</v>
      </c>
      <c r="BR57" s="3258" t="e">
        <v>#DIV/0!</v>
      </c>
      <c r="BS57" s="3257" t="s">
        <v>3141</v>
      </c>
      <c r="BT57" s="3257" t="s">
        <v>3140</v>
      </c>
      <c r="BU57" s="3256"/>
    </row>
    <row r="58" spans="1:73">
      <c r="A58" s="3259" t="s">
        <v>3240</v>
      </c>
      <c r="B58" s="3259" t="s">
        <v>3239</v>
      </c>
      <c r="C58" s="3268" t="s">
        <v>3238</v>
      </c>
      <c r="D58" s="3259">
        <v>13691171725</v>
      </c>
      <c r="E58" s="3259" t="s">
        <v>3135</v>
      </c>
      <c r="F58" s="3259" t="s">
        <v>3237</v>
      </c>
      <c r="G58" s="3259"/>
      <c r="H58" s="3259"/>
      <c r="I58" s="3259" t="s">
        <v>3236</v>
      </c>
      <c r="J58" s="3259" t="s">
        <v>3235</v>
      </c>
      <c r="K58" s="3259" t="s">
        <v>3232</v>
      </c>
      <c r="L58" s="3280">
        <v>62.88</v>
      </c>
      <c r="M58" s="3259">
        <v>6</v>
      </c>
      <c r="N58" s="3259" t="s">
        <v>3149</v>
      </c>
      <c r="O58" s="3259"/>
      <c r="P58" s="3259" t="s">
        <v>2972</v>
      </c>
      <c r="Q58" s="3259">
        <v>440000</v>
      </c>
      <c r="R58" s="3273">
        <v>6997</v>
      </c>
      <c r="S58" s="3270">
        <v>45.58</v>
      </c>
      <c r="T58" s="3272">
        <v>455800</v>
      </c>
      <c r="U58" s="3259">
        <v>7250</v>
      </c>
      <c r="V58" s="3271">
        <v>0.2</v>
      </c>
      <c r="W58" s="3270">
        <v>36.46</v>
      </c>
      <c r="X58" s="3269">
        <v>364600</v>
      </c>
      <c r="Y58" s="3259">
        <v>2009</v>
      </c>
      <c r="Z58" s="3259">
        <v>11</v>
      </c>
      <c r="AA58" s="3259">
        <v>11</v>
      </c>
      <c r="AB58" s="3259">
        <v>1365</v>
      </c>
      <c r="AC58" s="3259" t="s">
        <v>3120</v>
      </c>
      <c r="AD58" s="3259"/>
      <c r="AE58" s="3259" t="s">
        <v>3147</v>
      </c>
      <c r="AF58" s="3259" t="s">
        <v>2975</v>
      </c>
      <c r="AG58" s="3259" t="s">
        <v>2976</v>
      </c>
      <c r="AH58" s="3259">
        <v>6997</v>
      </c>
      <c r="AI58" s="3259" t="s">
        <v>3128</v>
      </c>
      <c r="AJ58" s="3267"/>
      <c r="AK58" s="3259" t="s">
        <v>3218</v>
      </c>
      <c r="AL58" s="3259">
        <v>30</v>
      </c>
      <c r="AM58" s="3259"/>
      <c r="AN58" s="3259" t="s">
        <v>3234</v>
      </c>
      <c r="AO58" s="3259"/>
      <c r="AP58" s="3259" t="s">
        <v>3169</v>
      </c>
      <c r="AQ58" s="3259" t="s">
        <v>3125</v>
      </c>
      <c r="AR58" s="3259"/>
      <c r="AS58" s="3259"/>
      <c r="AT58" s="3259"/>
      <c r="AU58" s="3259"/>
      <c r="AV58" s="3259"/>
      <c r="AW58" s="3259" t="s">
        <v>3144</v>
      </c>
      <c r="AX58" s="3259" t="s">
        <v>3159</v>
      </c>
      <c r="AY58" s="3268" t="s">
        <v>3233</v>
      </c>
      <c r="AZ58" s="3259" t="s">
        <v>3232</v>
      </c>
      <c r="BA58" s="3259"/>
      <c r="BB58" s="3268"/>
      <c r="BC58" s="3259"/>
      <c r="BD58" s="3279"/>
      <c r="BE58" s="3259">
        <v>13641363201</v>
      </c>
      <c r="BF58" s="3278"/>
      <c r="BG58" s="3267">
        <v>40120</v>
      </c>
      <c r="BH58" s="3259"/>
      <c r="BI58" s="3259" t="s">
        <v>3169</v>
      </c>
      <c r="BJ58" s="3267"/>
      <c r="BK58" s="3277"/>
      <c r="BL58" s="3259" t="s">
        <v>3007</v>
      </c>
      <c r="BM58" s="3259" t="s">
        <v>3170</v>
      </c>
      <c r="BN58" s="3259"/>
      <c r="BO58" s="3259" t="s">
        <v>3009</v>
      </c>
      <c r="BP58" s="3259"/>
      <c r="BQ58" s="3258" t="e">
        <v>#DIV/0!</v>
      </c>
      <c r="BR58" s="3258" t="e">
        <v>#DIV/0!</v>
      </c>
      <c r="BS58" s="3257" t="s">
        <v>3169</v>
      </c>
      <c r="BT58" s="3257" t="s">
        <v>3120</v>
      </c>
      <c r="BU58" s="3256"/>
    </row>
    <row r="59" spans="1:73">
      <c r="A59" s="3259" t="s">
        <v>3231</v>
      </c>
      <c r="B59" s="3259" t="s">
        <v>3230</v>
      </c>
      <c r="C59" s="3268" t="s">
        <v>3229</v>
      </c>
      <c r="D59" s="3259">
        <v>13683323773</v>
      </c>
      <c r="E59" s="3259" t="s">
        <v>3135</v>
      </c>
      <c r="F59" s="3259" t="s">
        <v>3188</v>
      </c>
      <c r="G59" s="3259"/>
      <c r="H59" s="3259" t="s">
        <v>3228</v>
      </c>
      <c r="I59" s="3259" t="s">
        <v>3186</v>
      </c>
      <c r="J59" s="3259" t="s">
        <v>3227</v>
      </c>
      <c r="K59" s="3259" t="s">
        <v>3225</v>
      </c>
      <c r="L59" s="3280">
        <v>78.72</v>
      </c>
      <c r="M59" s="3259">
        <v>5</v>
      </c>
      <c r="N59" s="3259" t="s">
        <v>3162</v>
      </c>
      <c r="O59" s="3259"/>
      <c r="P59" s="3259" t="s">
        <v>2972</v>
      </c>
      <c r="Q59" s="3259">
        <v>525000</v>
      </c>
      <c r="R59" s="3273">
        <v>6669</v>
      </c>
      <c r="S59" s="3270">
        <v>55.14</v>
      </c>
      <c r="T59" s="3272">
        <v>551400</v>
      </c>
      <c r="U59" s="3259">
        <v>7005</v>
      </c>
      <c r="V59" s="3271">
        <v>0.2</v>
      </c>
      <c r="W59" s="3270">
        <v>44.11</v>
      </c>
      <c r="X59" s="3269">
        <v>441100</v>
      </c>
      <c r="Y59" s="3259">
        <v>2009</v>
      </c>
      <c r="Z59" s="3259">
        <v>11</v>
      </c>
      <c r="AA59" s="3259">
        <v>20</v>
      </c>
      <c r="AB59" s="3259">
        <v>1500</v>
      </c>
      <c r="AC59" s="3259" t="s">
        <v>3140</v>
      </c>
      <c r="AD59" s="3259">
        <v>91162009110029</v>
      </c>
      <c r="AE59" s="3259" t="s">
        <v>3147</v>
      </c>
      <c r="AF59" s="3259" t="s">
        <v>2975</v>
      </c>
      <c r="AG59" s="3259" t="s">
        <v>2976</v>
      </c>
      <c r="AH59" s="3259">
        <v>7774</v>
      </c>
      <c r="AI59" s="3259" t="s">
        <v>3128</v>
      </c>
      <c r="AJ59" s="3267"/>
      <c r="AK59" s="3259" t="s">
        <v>3218</v>
      </c>
      <c r="AL59" s="3259">
        <v>28</v>
      </c>
      <c r="AM59" s="3259"/>
      <c r="AN59" s="3259" t="s">
        <v>3126</v>
      </c>
      <c r="AO59" s="3259"/>
      <c r="AP59" s="3259" t="s">
        <v>3169</v>
      </c>
      <c r="AQ59" s="3259" t="s">
        <v>3125</v>
      </c>
      <c r="AR59" s="3259"/>
      <c r="AS59" s="3259"/>
      <c r="AT59" s="3259"/>
      <c r="AU59" s="3259"/>
      <c r="AV59" s="3259"/>
      <c r="AW59" s="3259" t="s">
        <v>3144</v>
      </c>
      <c r="AX59" s="3259" t="s">
        <v>3159</v>
      </c>
      <c r="AY59" s="3268" t="s">
        <v>3226</v>
      </c>
      <c r="AZ59" s="3259" t="s">
        <v>3225</v>
      </c>
      <c r="BA59" s="3259"/>
      <c r="BB59" s="3268"/>
      <c r="BC59" s="3259"/>
      <c r="BD59" s="3279"/>
      <c r="BE59" s="3259">
        <v>13501029581</v>
      </c>
      <c r="BF59" s="3278"/>
      <c r="BG59" s="3267">
        <v>40121</v>
      </c>
      <c r="BH59" s="3259"/>
      <c r="BI59" s="3259" t="s">
        <v>3169</v>
      </c>
      <c r="BJ59" s="3267">
        <v>40121</v>
      </c>
      <c r="BK59" s="3277"/>
      <c r="BL59" s="3259" t="s">
        <v>3007</v>
      </c>
      <c r="BM59" s="3259" t="s">
        <v>2881</v>
      </c>
      <c r="BN59" s="3259"/>
      <c r="BO59" s="3259" t="s">
        <v>3009</v>
      </c>
      <c r="BP59" s="3259"/>
      <c r="BQ59" s="3258" t="e">
        <v>#DIV/0!</v>
      </c>
      <c r="BR59" s="3258" t="e">
        <v>#DIV/0!</v>
      </c>
      <c r="BS59" s="3257" t="s">
        <v>3169</v>
      </c>
      <c r="BT59" s="3257" t="s">
        <v>3140</v>
      </c>
      <c r="BU59" s="3256"/>
    </row>
    <row r="60" spans="1:73">
      <c r="A60" s="3259" t="s">
        <v>3224</v>
      </c>
      <c r="B60" s="3259" t="s">
        <v>3220</v>
      </c>
      <c r="C60" s="3268" t="s">
        <v>3223</v>
      </c>
      <c r="D60" s="3259">
        <v>13716641882</v>
      </c>
      <c r="E60" s="3259" t="s">
        <v>3135</v>
      </c>
      <c r="F60" s="3259" t="s">
        <v>3211</v>
      </c>
      <c r="G60" s="3259"/>
      <c r="H60" s="3259" t="s">
        <v>3222</v>
      </c>
      <c r="I60" s="3259" t="s">
        <v>3221</v>
      </c>
      <c r="J60" s="3259" t="s">
        <v>3208</v>
      </c>
      <c r="K60" s="3259" t="s">
        <v>3220</v>
      </c>
      <c r="L60" s="3280">
        <v>98.23</v>
      </c>
      <c r="M60" s="3259">
        <v>3</v>
      </c>
      <c r="N60" s="3259" t="s">
        <v>3162</v>
      </c>
      <c r="O60" s="3259"/>
      <c r="P60" s="3259" t="s">
        <v>2972</v>
      </c>
      <c r="Q60" s="3259">
        <v>500000</v>
      </c>
      <c r="R60" s="3273">
        <v>5090</v>
      </c>
      <c r="S60" s="3270">
        <v>74.650000000000006</v>
      </c>
      <c r="T60" s="3272">
        <v>746500</v>
      </c>
      <c r="U60" s="3259">
        <v>7600</v>
      </c>
      <c r="V60" s="3271">
        <v>0.2</v>
      </c>
      <c r="W60" s="3270">
        <v>59.72</v>
      </c>
      <c r="X60" s="3269">
        <v>597200</v>
      </c>
      <c r="Y60" s="3259">
        <v>2009</v>
      </c>
      <c r="Z60" s="3259">
        <v>11</v>
      </c>
      <c r="AA60" s="3259">
        <v>23</v>
      </c>
      <c r="AB60" s="3259">
        <v>1500</v>
      </c>
      <c r="AC60" s="3259" t="s">
        <v>3140</v>
      </c>
      <c r="AD60" s="3268" t="s">
        <v>3219</v>
      </c>
      <c r="AE60" s="3259" t="s">
        <v>3147</v>
      </c>
      <c r="AF60" s="3259" t="s">
        <v>2975</v>
      </c>
      <c r="AG60" s="3259" t="s">
        <v>2976</v>
      </c>
      <c r="AH60" s="3259"/>
      <c r="AI60" s="3259" t="s">
        <v>3128</v>
      </c>
      <c r="AJ60" s="3259"/>
      <c r="AK60" s="3259" t="s">
        <v>3218</v>
      </c>
      <c r="AL60" s="3259">
        <v>41</v>
      </c>
      <c r="AM60" s="3259" t="s">
        <v>3217</v>
      </c>
      <c r="AN60" s="3259" t="s">
        <v>3003</v>
      </c>
      <c r="AO60" s="3259"/>
      <c r="AP60" s="3259" t="s">
        <v>3141</v>
      </c>
      <c r="AQ60" s="3259" t="s">
        <v>3125</v>
      </c>
      <c r="AR60" s="3259"/>
      <c r="AS60" s="3259"/>
      <c r="AT60" s="3259"/>
      <c r="AU60" s="3259"/>
      <c r="AV60" s="3259"/>
      <c r="AW60" s="3259" t="s">
        <v>3144</v>
      </c>
      <c r="AX60" s="3259" t="s">
        <v>3159</v>
      </c>
      <c r="AY60" s="3268" t="s">
        <v>3216</v>
      </c>
      <c r="AZ60" s="3259" t="s">
        <v>3215</v>
      </c>
      <c r="BA60" s="3259"/>
      <c r="BB60" s="3268"/>
      <c r="BC60" s="3259"/>
      <c r="BD60" s="3279"/>
      <c r="BE60" s="3259">
        <v>13601197152</v>
      </c>
      <c r="BF60" s="3278"/>
      <c r="BG60" s="3267">
        <v>40127</v>
      </c>
      <c r="BH60" s="3259"/>
      <c r="BI60" s="3259" t="s">
        <v>3141</v>
      </c>
      <c r="BJ60" s="3277">
        <v>40127</v>
      </c>
      <c r="BK60" s="3277"/>
      <c r="BL60" s="3259" t="s">
        <v>3007</v>
      </c>
      <c r="BM60" s="3259" t="s">
        <v>3170</v>
      </c>
      <c r="BN60" s="3259" t="s">
        <v>3008</v>
      </c>
      <c r="BO60" s="3259" t="s">
        <v>3009</v>
      </c>
      <c r="BP60" s="3259"/>
      <c r="BQ60" s="3258" t="e">
        <v>#DIV/0!</v>
      </c>
      <c r="BR60" s="3258" t="e">
        <v>#DIV/0!</v>
      </c>
      <c r="BS60" s="3257" t="s">
        <v>3141</v>
      </c>
      <c r="BT60" s="3257" t="s">
        <v>3140</v>
      </c>
      <c r="BU60" s="3256"/>
    </row>
    <row r="61" spans="1:73">
      <c r="A61" s="3259" t="s">
        <v>3214</v>
      </c>
      <c r="B61" s="3259" t="s">
        <v>3207</v>
      </c>
      <c r="C61" s="3268" t="s">
        <v>3213</v>
      </c>
      <c r="D61" s="3268" t="s">
        <v>3212</v>
      </c>
      <c r="E61" s="3259" t="s">
        <v>3135</v>
      </c>
      <c r="F61" s="3259" t="s">
        <v>3211</v>
      </c>
      <c r="G61" s="3259"/>
      <c r="H61" s="3259" t="s">
        <v>3210</v>
      </c>
      <c r="I61" s="3259" t="s">
        <v>3209</v>
      </c>
      <c r="J61" s="3268" t="s">
        <v>3208</v>
      </c>
      <c r="K61" s="3259" t="s">
        <v>3207</v>
      </c>
      <c r="L61" s="3259">
        <v>90.36</v>
      </c>
      <c r="M61" s="3259">
        <v>3</v>
      </c>
      <c r="N61" s="3259" t="s">
        <v>3107</v>
      </c>
      <c r="O61" s="3259"/>
      <c r="P61" s="3259" t="s">
        <v>2972</v>
      </c>
      <c r="Q61" s="3274">
        <v>430000</v>
      </c>
      <c r="R61" s="3273">
        <v>4759</v>
      </c>
      <c r="S61" s="3270">
        <v>68.22</v>
      </c>
      <c r="T61" s="3272">
        <v>682200</v>
      </c>
      <c r="U61" s="3259">
        <v>7550</v>
      </c>
      <c r="V61" s="3271">
        <v>0.2</v>
      </c>
      <c r="W61" s="3270">
        <v>54.57</v>
      </c>
      <c r="X61" s="3269">
        <v>545700</v>
      </c>
      <c r="Y61" s="3259">
        <v>2009</v>
      </c>
      <c r="Z61" s="3258">
        <v>12</v>
      </c>
      <c r="AA61" s="3258">
        <v>3</v>
      </c>
      <c r="AB61" s="3259">
        <v>1500</v>
      </c>
      <c r="AC61" s="3259" t="s">
        <v>3140</v>
      </c>
      <c r="AD61" s="3268" t="s">
        <v>3206</v>
      </c>
      <c r="AE61" s="3258" t="s">
        <v>3147</v>
      </c>
      <c r="AF61" s="3259" t="s">
        <v>2975</v>
      </c>
      <c r="AG61" s="3259" t="s">
        <v>2976</v>
      </c>
      <c r="AH61" s="3259">
        <v>8521</v>
      </c>
      <c r="AI61" s="3259" t="s">
        <v>3128</v>
      </c>
      <c r="AJ61" s="3267"/>
      <c r="AK61" s="3266" t="s">
        <v>3146</v>
      </c>
      <c r="AL61" s="3258">
        <v>41</v>
      </c>
      <c r="AM61" s="3258" t="s">
        <v>3205</v>
      </c>
      <c r="AN61" s="3258" t="s">
        <v>3193</v>
      </c>
      <c r="AO61" s="3258"/>
      <c r="AP61" s="3259" t="s">
        <v>3141</v>
      </c>
      <c r="AQ61" s="3259" t="s">
        <v>3125</v>
      </c>
      <c r="AR61" s="3258"/>
      <c r="AS61" s="3258"/>
      <c r="AT61" s="3258"/>
      <c r="AU61" s="3258"/>
      <c r="AV61" s="3258"/>
      <c r="AW61" s="3259" t="s">
        <v>3144</v>
      </c>
      <c r="AX61" s="3258" t="s">
        <v>955</v>
      </c>
      <c r="AY61" s="3264" t="s">
        <v>3204</v>
      </c>
      <c r="AZ61" s="3258" t="s">
        <v>3203</v>
      </c>
      <c r="BA61" s="3258"/>
      <c r="BB61" s="3264"/>
      <c r="BC61" s="3258"/>
      <c r="BD61" s="3263"/>
      <c r="BE61" s="3258">
        <v>13701007210</v>
      </c>
      <c r="BF61" s="3262"/>
      <c r="BG61" s="3261">
        <v>40136</v>
      </c>
      <c r="BH61" s="3258"/>
      <c r="BI61" s="3259" t="s">
        <v>3141</v>
      </c>
      <c r="BJ61" s="3260">
        <v>40136</v>
      </c>
      <c r="BK61" s="3260"/>
      <c r="BL61" s="3259" t="s">
        <v>3007</v>
      </c>
      <c r="BM61" s="3258" t="s">
        <v>2881</v>
      </c>
      <c r="BN61" s="3258" t="s">
        <v>3008</v>
      </c>
      <c r="BO61" s="3259" t="s">
        <v>3009</v>
      </c>
      <c r="BP61" s="3258"/>
      <c r="BQ61" s="3258" t="e">
        <v>#DIV/0!</v>
      </c>
      <c r="BR61" s="3258" t="e">
        <v>#DIV/0!</v>
      </c>
      <c r="BS61" s="3257" t="s">
        <v>3141</v>
      </c>
      <c r="BT61" s="3257" t="s">
        <v>3140</v>
      </c>
      <c r="BU61" s="3256"/>
    </row>
    <row r="62" spans="1:73">
      <c r="A62" s="3259" t="s">
        <v>3202</v>
      </c>
      <c r="B62" s="3259" t="s">
        <v>3196</v>
      </c>
      <c r="C62" s="3268" t="s">
        <v>3201</v>
      </c>
      <c r="D62" s="3268" t="s">
        <v>3200</v>
      </c>
      <c r="E62" s="3259" t="s">
        <v>3135</v>
      </c>
      <c r="F62" s="3259" t="s">
        <v>3134</v>
      </c>
      <c r="G62" s="3259"/>
      <c r="H62" s="3259" t="s">
        <v>3199</v>
      </c>
      <c r="I62" s="3259" t="s">
        <v>3198</v>
      </c>
      <c r="J62" s="3268" t="s">
        <v>3197</v>
      </c>
      <c r="K62" s="3259" t="s">
        <v>3196</v>
      </c>
      <c r="L62" s="3259">
        <v>148.84</v>
      </c>
      <c r="M62" s="3259">
        <v>6</v>
      </c>
      <c r="N62" s="3259" t="s">
        <v>3173</v>
      </c>
      <c r="O62" s="3259"/>
      <c r="P62" s="3259" t="s">
        <v>2972</v>
      </c>
      <c r="Q62" s="3274">
        <v>970000</v>
      </c>
      <c r="R62" s="3273">
        <v>6517</v>
      </c>
      <c r="S62" s="3270">
        <v>112.37</v>
      </c>
      <c r="T62" s="3272">
        <v>1123700</v>
      </c>
      <c r="U62" s="3259">
        <v>7550</v>
      </c>
      <c r="V62" s="3271">
        <v>0.2</v>
      </c>
      <c r="W62" s="3270">
        <v>89.89</v>
      </c>
      <c r="X62" s="3269">
        <v>898900</v>
      </c>
      <c r="Y62" s="3259">
        <v>2009</v>
      </c>
      <c r="Z62" s="3258">
        <v>12</v>
      </c>
      <c r="AA62" s="3258">
        <v>3</v>
      </c>
      <c r="AB62" s="3259">
        <v>1500</v>
      </c>
      <c r="AC62" s="3259" t="s">
        <v>3140</v>
      </c>
      <c r="AD62" s="3268" t="s">
        <v>3195</v>
      </c>
      <c r="AE62" s="3258" t="s">
        <v>3147</v>
      </c>
      <c r="AF62" s="3259" t="s">
        <v>2975</v>
      </c>
      <c r="AG62" s="3259" t="s">
        <v>2976</v>
      </c>
      <c r="AH62" s="3259"/>
      <c r="AI62" s="3259" t="s">
        <v>3128</v>
      </c>
      <c r="AJ62" s="3267"/>
      <c r="AK62" s="3266" t="s">
        <v>3146</v>
      </c>
      <c r="AL62" s="3258">
        <v>41</v>
      </c>
      <c r="AM62" s="3258" t="s">
        <v>3194</v>
      </c>
      <c r="AN62" s="3258" t="s">
        <v>3193</v>
      </c>
      <c r="AO62" s="3258"/>
      <c r="AP62" s="3259" t="s">
        <v>3141</v>
      </c>
      <c r="AQ62" s="3259" t="s">
        <v>3125</v>
      </c>
      <c r="AR62" s="3258"/>
      <c r="AS62" s="3258"/>
      <c r="AT62" s="3258"/>
      <c r="AU62" s="3258"/>
      <c r="AV62" s="3258"/>
      <c r="AW62" s="3259" t="s">
        <v>3144</v>
      </c>
      <c r="AX62" s="3258" t="s">
        <v>3159</v>
      </c>
      <c r="AY62" s="3264" t="s">
        <v>3192</v>
      </c>
      <c r="AZ62" s="3258" t="s">
        <v>3191</v>
      </c>
      <c r="BA62" s="3258"/>
      <c r="BB62" s="3264"/>
      <c r="BC62" s="3258"/>
      <c r="BD62" s="3263"/>
      <c r="BE62" s="3258">
        <v>13581856630</v>
      </c>
      <c r="BF62" s="3262"/>
      <c r="BG62" s="3261">
        <v>40137</v>
      </c>
      <c r="BH62" s="3258"/>
      <c r="BI62" s="3259" t="s">
        <v>3141</v>
      </c>
      <c r="BJ62" s="3277">
        <v>40137</v>
      </c>
      <c r="BK62" s="3260"/>
      <c r="BL62" s="3259" t="s">
        <v>3007</v>
      </c>
      <c r="BM62" s="3258" t="s">
        <v>3170</v>
      </c>
      <c r="BN62" s="3258" t="s">
        <v>3008</v>
      </c>
      <c r="BO62" s="3259" t="s">
        <v>3009</v>
      </c>
      <c r="BP62" s="3258"/>
      <c r="BQ62" s="3258" t="e">
        <v>#DIV/0!</v>
      </c>
      <c r="BR62" s="3258" t="e">
        <v>#DIV/0!</v>
      </c>
      <c r="BS62" s="3257" t="s">
        <v>3141</v>
      </c>
      <c r="BT62" s="3257" t="s">
        <v>3140</v>
      </c>
      <c r="BU62" s="3256"/>
    </row>
    <row r="63" spans="1:73">
      <c r="A63" s="3259" t="s">
        <v>3190</v>
      </c>
      <c r="B63" s="3259" t="s">
        <v>3184</v>
      </c>
      <c r="C63" s="3268" t="s">
        <v>3189</v>
      </c>
      <c r="D63" s="3259">
        <v>13810118111</v>
      </c>
      <c r="E63" s="3259" t="s">
        <v>3135</v>
      </c>
      <c r="F63" s="3259" t="s">
        <v>3188</v>
      </c>
      <c r="G63" s="3259"/>
      <c r="H63" s="3259" t="s">
        <v>3187</v>
      </c>
      <c r="I63" s="3259" t="s">
        <v>3186</v>
      </c>
      <c r="J63" s="3259" t="s">
        <v>3185</v>
      </c>
      <c r="K63" s="3259" t="s">
        <v>3184</v>
      </c>
      <c r="L63" s="3259">
        <v>55.09</v>
      </c>
      <c r="M63" s="3259">
        <v>5</v>
      </c>
      <c r="N63" s="3259" t="s">
        <v>3149</v>
      </c>
      <c r="O63" s="3259"/>
      <c r="P63" s="3259" t="s">
        <v>2972</v>
      </c>
      <c r="Q63" s="3259">
        <v>204000</v>
      </c>
      <c r="R63" s="3273">
        <v>3703</v>
      </c>
      <c r="S63" s="3270">
        <v>35.799999999999997</v>
      </c>
      <c r="T63" s="3272">
        <v>358000</v>
      </c>
      <c r="U63" s="3259">
        <v>6500</v>
      </c>
      <c r="V63" s="3271">
        <v>0.2</v>
      </c>
      <c r="W63" s="3270">
        <v>28.64</v>
      </c>
      <c r="X63" s="3269">
        <v>286400</v>
      </c>
      <c r="Y63" s="3258">
        <v>2009</v>
      </c>
      <c r="Z63" s="3258">
        <v>12</v>
      </c>
      <c r="AA63" s="3259">
        <v>15</v>
      </c>
      <c r="AB63" s="3259">
        <v>1070</v>
      </c>
      <c r="AC63" s="3259" t="s">
        <v>3140</v>
      </c>
      <c r="AD63" s="3268" t="s">
        <v>3183</v>
      </c>
      <c r="AE63" s="3258" t="s">
        <v>3147</v>
      </c>
      <c r="AF63" s="3259" t="s">
        <v>2975</v>
      </c>
      <c r="AG63" s="3259" t="s">
        <v>2976</v>
      </c>
      <c r="AH63" s="3259"/>
      <c r="AI63" s="3259" t="s">
        <v>3128</v>
      </c>
      <c r="AJ63" s="3259"/>
      <c r="AK63" s="3259" t="s">
        <v>3146</v>
      </c>
      <c r="AL63" s="3259">
        <v>28</v>
      </c>
      <c r="AM63" s="3259" t="s">
        <v>3182</v>
      </c>
      <c r="AN63" s="3259" t="s">
        <v>3126</v>
      </c>
      <c r="AO63" s="3259"/>
      <c r="AP63" s="3259" t="s">
        <v>3141</v>
      </c>
      <c r="AQ63" s="3259" t="s">
        <v>3125</v>
      </c>
      <c r="AR63" s="3259"/>
      <c r="AS63" s="3259"/>
      <c r="AT63" s="3259"/>
      <c r="AU63" s="3259"/>
      <c r="AV63" s="3259"/>
      <c r="AW63" s="3259" t="s">
        <v>3144</v>
      </c>
      <c r="AX63" s="3259" t="s">
        <v>955</v>
      </c>
      <c r="AY63" s="3268" t="s">
        <v>3181</v>
      </c>
      <c r="AZ63" s="3259" t="s">
        <v>3180</v>
      </c>
      <c r="BA63" s="3259"/>
      <c r="BB63" s="3268"/>
      <c r="BC63" s="3259"/>
      <c r="BD63" s="3279"/>
      <c r="BE63" s="3259">
        <v>15210831311</v>
      </c>
      <c r="BF63" s="3278"/>
      <c r="BG63" s="3267">
        <v>40143</v>
      </c>
      <c r="BH63" s="3259"/>
      <c r="BI63" s="3259" t="s">
        <v>3141</v>
      </c>
      <c r="BJ63" s="3277">
        <v>40144</v>
      </c>
      <c r="BK63" s="3277"/>
      <c r="BL63" s="3259" t="s">
        <v>3007</v>
      </c>
      <c r="BM63" s="3259" t="s">
        <v>3170</v>
      </c>
      <c r="BN63" s="3259" t="s">
        <v>3008</v>
      </c>
      <c r="BO63" s="3259" t="s">
        <v>3009</v>
      </c>
      <c r="BP63" s="3259"/>
      <c r="BQ63" s="3258" t="e">
        <v>#DIV/0!</v>
      </c>
      <c r="BR63" s="3258" t="e">
        <v>#DIV/0!</v>
      </c>
      <c r="BS63" s="3257" t="s">
        <v>3141</v>
      </c>
      <c r="BT63" s="3257" t="s">
        <v>3140</v>
      </c>
      <c r="BU63" s="3256"/>
    </row>
    <row r="64" spans="1:73">
      <c r="A64" s="3259" t="s">
        <v>3179</v>
      </c>
      <c r="B64" s="3259" t="s">
        <v>3178</v>
      </c>
      <c r="C64" s="3268" t="s">
        <v>3177</v>
      </c>
      <c r="D64" s="3259">
        <v>13311371052</v>
      </c>
      <c r="E64" s="3259" t="s">
        <v>3135</v>
      </c>
      <c r="F64" s="3259" t="s">
        <v>3176</v>
      </c>
      <c r="G64" s="3259"/>
      <c r="H64" s="3259" t="s">
        <v>3175</v>
      </c>
      <c r="I64" s="3259" t="s">
        <v>3174</v>
      </c>
      <c r="J64" s="3259" t="s">
        <v>3164</v>
      </c>
      <c r="K64" s="3259" t="s">
        <v>3171</v>
      </c>
      <c r="L64" s="3259">
        <v>148.84</v>
      </c>
      <c r="M64" s="3259">
        <v>6</v>
      </c>
      <c r="N64" s="3259" t="s">
        <v>3173</v>
      </c>
      <c r="O64" s="3259"/>
      <c r="P64" s="3259" t="s">
        <v>2972</v>
      </c>
      <c r="Q64" s="3259">
        <v>880000</v>
      </c>
      <c r="R64" s="3273">
        <v>5912</v>
      </c>
      <c r="S64" s="3270">
        <v>107.16</v>
      </c>
      <c r="T64" s="3272">
        <v>1071600</v>
      </c>
      <c r="U64" s="3259">
        <v>7200</v>
      </c>
      <c r="V64" s="3271">
        <v>0.2</v>
      </c>
      <c r="W64" s="3270">
        <v>85.72</v>
      </c>
      <c r="X64" s="3269">
        <v>857200</v>
      </c>
      <c r="Y64" s="3259">
        <v>2009</v>
      </c>
      <c r="Z64" s="3259">
        <v>12</v>
      </c>
      <c r="AA64" s="3258">
        <v>25</v>
      </c>
      <c r="AB64" s="3259">
        <v>1500</v>
      </c>
      <c r="AC64" s="3259" t="s">
        <v>3140</v>
      </c>
      <c r="AD64" s="3259">
        <v>91162009120053</v>
      </c>
      <c r="AE64" s="3258" t="s">
        <v>3147</v>
      </c>
      <c r="AF64" s="3259" t="s">
        <v>2975</v>
      </c>
      <c r="AG64" s="3259" t="s">
        <v>2976</v>
      </c>
      <c r="AH64" s="3259">
        <v>7256</v>
      </c>
      <c r="AI64" s="3259" t="s">
        <v>3128</v>
      </c>
      <c r="AJ64" s="3267"/>
      <c r="AK64" s="3259" t="s">
        <v>3146</v>
      </c>
      <c r="AL64" s="3259">
        <v>40</v>
      </c>
      <c r="AM64" s="3259"/>
      <c r="AN64" s="3259" t="s">
        <v>3003</v>
      </c>
      <c r="AO64" s="3259"/>
      <c r="AP64" s="3259" t="s">
        <v>3169</v>
      </c>
      <c r="AQ64" s="3259" t="s">
        <v>3125</v>
      </c>
      <c r="AR64" s="3259"/>
      <c r="AS64" s="3259"/>
      <c r="AT64" s="3259"/>
      <c r="AU64" s="3259"/>
      <c r="AV64" s="3259"/>
      <c r="AW64" s="3259" t="s">
        <v>3144</v>
      </c>
      <c r="AX64" s="3259" t="s">
        <v>3159</v>
      </c>
      <c r="AY64" s="3268" t="s">
        <v>3172</v>
      </c>
      <c r="AZ64" s="3259" t="s">
        <v>3171</v>
      </c>
      <c r="BA64" s="3259"/>
      <c r="BB64" s="3268"/>
      <c r="BC64" s="3259"/>
      <c r="BD64" s="3279"/>
      <c r="BE64" s="3259">
        <v>13716157678</v>
      </c>
      <c r="BF64" s="3278"/>
      <c r="BG64" s="3267">
        <v>40150</v>
      </c>
      <c r="BH64" s="3259"/>
      <c r="BI64" s="3259" t="s">
        <v>3169</v>
      </c>
      <c r="BJ64" s="3267">
        <v>40150</v>
      </c>
      <c r="BK64" s="3277"/>
      <c r="BL64" s="3259" t="s">
        <v>3007</v>
      </c>
      <c r="BM64" s="3259" t="s">
        <v>3170</v>
      </c>
      <c r="BN64" s="3259"/>
      <c r="BO64" s="3259" t="s">
        <v>3009</v>
      </c>
      <c r="BP64" s="3259"/>
      <c r="BQ64" s="3258" t="e">
        <v>#DIV/0!</v>
      </c>
      <c r="BR64" s="3258" t="e">
        <v>#DIV/0!</v>
      </c>
      <c r="BS64" s="3257" t="s">
        <v>3169</v>
      </c>
      <c r="BT64" s="3257" t="s">
        <v>3140</v>
      </c>
      <c r="BU64" s="3256"/>
    </row>
    <row r="65" spans="1:74">
      <c r="A65" s="3259" t="s">
        <v>3168</v>
      </c>
      <c r="B65" s="3259" t="s">
        <v>3163</v>
      </c>
      <c r="C65" s="3268" t="s">
        <v>3167</v>
      </c>
      <c r="D65" s="3259">
        <v>15010091583</v>
      </c>
      <c r="E65" s="3259" t="s">
        <v>3135</v>
      </c>
      <c r="F65" s="3259" t="s">
        <v>3118</v>
      </c>
      <c r="G65" s="3259"/>
      <c r="H65" s="3259" t="s">
        <v>3166</v>
      </c>
      <c r="I65" s="3259" t="s">
        <v>3165</v>
      </c>
      <c r="J65" s="3259" t="s">
        <v>3164</v>
      </c>
      <c r="K65" s="3259" t="s">
        <v>3163</v>
      </c>
      <c r="L65" s="3259">
        <v>98.33</v>
      </c>
      <c r="M65" s="3259">
        <v>6</v>
      </c>
      <c r="N65" s="3259" t="s">
        <v>3162</v>
      </c>
      <c r="O65" s="3259"/>
      <c r="P65" s="3259" t="s">
        <v>2972</v>
      </c>
      <c r="Q65" s="3259">
        <v>662500</v>
      </c>
      <c r="R65" s="3273">
        <v>6738</v>
      </c>
      <c r="S65" s="3270">
        <v>72.760000000000005</v>
      </c>
      <c r="T65" s="3272">
        <v>727600</v>
      </c>
      <c r="U65" s="3259">
        <v>7400</v>
      </c>
      <c r="V65" s="3271">
        <v>0.2</v>
      </c>
      <c r="W65" s="3270">
        <v>58.2</v>
      </c>
      <c r="X65" s="3269">
        <v>582000</v>
      </c>
      <c r="Y65" s="3259">
        <v>2009</v>
      </c>
      <c r="Z65" s="3259">
        <v>12</v>
      </c>
      <c r="AA65" s="3259">
        <v>18</v>
      </c>
      <c r="AB65" s="3259">
        <v>1500</v>
      </c>
      <c r="AC65" s="3259" t="s">
        <v>3140</v>
      </c>
      <c r="AD65" s="3268" t="s">
        <v>3161</v>
      </c>
      <c r="AE65" s="3259" t="s">
        <v>3147</v>
      </c>
      <c r="AF65" s="3259" t="s">
        <v>2975</v>
      </c>
      <c r="AG65" s="3259" t="s">
        <v>2976</v>
      </c>
      <c r="AH65" s="3259">
        <v>7932</v>
      </c>
      <c r="AI65" s="3259" t="s">
        <v>3128</v>
      </c>
      <c r="AJ65" s="3259"/>
      <c r="AK65" s="3259" t="s">
        <v>3146</v>
      </c>
      <c r="AL65" s="3259">
        <v>33</v>
      </c>
      <c r="AM65" s="3259" t="s">
        <v>3160</v>
      </c>
      <c r="AN65" s="3259" t="s">
        <v>3126</v>
      </c>
      <c r="AO65" s="3259"/>
      <c r="AP65" s="3259" t="s">
        <v>3141</v>
      </c>
      <c r="AQ65" s="3259" t="s">
        <v>3125</v>
      </c>
      <c r="AR65" s="3259"/>
      <c r="AS65" s="3259"/>
      <c r="AT65" s="3259"/>
      <c r="AU65" s="3259"/>
      <c r="AV65" s="3259"/>
      <c r="AW65" s="3259" t="s">
        <v>3144</v>
      </c>
      <c r="AX65" s="3259" t="s">
        <v>3159</v>
      </c>
      <c r="AY65" s="3268" t="s">
        <v>3158</v>
      </c>
      <c r="AZ65" s="3259" t="s">
        <v>3157</v>
      </c>
      <c r="BA65" s="3259"/>
      <c r="BB65" s="3268"/>
      <c r="BC65" s="3259"/>
      <c r="BD65" s="3279"/>
      <c r="BE65" s="3259">
        <v>13501098366</v>
      </c>
      <c r="BF65" s="3278"/>
      <c r="BG65" s="3267">
        <v>40161</v>
      </c>
      <c r="BH65" s="3259"/>
      <c r="BI65" s="3259" t="s">
        <v>3141</v>
      </c>
      <c r="BJ65" s="3277">
        <v>40161</v>
      </c>
      <c r="BK65" s="3277"/>
      <c r="BL65" s="3259" t="s">
        <v>3007</v>
      </c>
      <c r="BM65" s="3259" t="s">
        <v>2881</v>
      </c>
      <c r="BN65" s="3259" t="s">
        <v>3008</v>
      </c>
      <c r="BO65" s="3259" t="s">
        <v>3009</v>
      </c>
      <c r="BP65" s="3259"/>
      <c r="BQ65" s="3258" t="e">
        <v>#DIV/0!</v>
      </c>
      <c r="BR65" s="3258" t="e">
        <v>#DIV/0!</v>
      </c>
      <c r="BS65" s="3257" t="s">
        <v>3141</v>
      </c>
      <c r="BT65" s="3257" t="s">
        <v>3140</v>
      </c>
      <c r="BU65" s="3256"/>
      <c r="BV65" s="3255"/>
    </row>
    <row r="66" spans="1:74">
      <c r="A66" s="3259" t="s">
        <v>3156</v>
      </c>
      <c r="B66" s="3259" t="s">
        <v>3150</v>
      </c>
      <c r="C66" s="3268" t="s">
        <v>3155</v>
      </c>
      <c r="D66" s="3259">
        <v>13716191095</v>
      </c>
      <c r="E66" s="3259" t="s">
        <v>3135</v>
      </c>
      <c r="F66" s="3259" t="s">
        <v>3154</v>
      </c>
      <c r="G66" s="3259"/>
      <c r="H66" s="3259" t="s">
        <v>3153</v>
      </c>
      <c r="I66" s="3259" t="s">
        <v>3152</v>
      </c>
      <c r="J66" s="3259" t="s">
        <v>3151</v>
      </c>
      <c r="K66" s="3259" t="s">
        <v>3150</v>
      </c>
      <c r="L66" s="3259">
        <v>81.81</v>
      </c>
      <c r="M66" s="3259">
        <v>4</v>
      </c>
      <c r="N66" s="3259" t="s">
        <v>3149</v>
      </c>
      <c r="O66" s="3259"/>
      <c r="P66" s="3259" t="s">
        <v>2972</v>
      </c>
      <c r="Q66" s="3259">
        <v>510000</v>
      </c>
      <c r="R66" s="3273">
        <v>6234</v>
      </c>
      <c r="S66" s="3270">
        <v>65.48</v>
      </c>
      <c r="T66" s="3272">
        <v>654800</v>
      </c>
      <c r="U66" s="3259">
        <v>8005</v>
      </c>
      <c r="V66" s="3271">
        <v>0.2</v>
      </c>
      <c r="W66" s="3270">
        <v>52.38</v>
      </c>
      <c r="X66" s="3269">
        <v>523800</v>
      </c>
      <c r="Y66" s="3258">
        <v>2009</v>
      </c>
      <c r="Z66" s="3258">
        <v>12</v>
      </c>
      <c r="AA66" s="3258">
        <v>22</v>
      </c>
      <c r="AB66" s="3259">
        <v>1500</v>
      </c>
      <c r="AC66" s="3259" t="s">
        <v>3140</v>
      </c>
      <c r="AD66" s="3268" t="s">
        <v>3148</v>
      </c>
      <c r="AE66" s="3258" t="s">
        <v>3147</v>
      </c>
      <c r="AF66" s="3259" t="s">
        <v>2975</v>
      </c>
      <c r="AG66" s="3259" t="s">
        <v>2976</v>
      </c>
      <c r="AH66" s="3259">
        <v>9289</v>
      </c>
      <c r="AI66" s="3259" t="s">
        <v>3128</v>
      </c>
      <c r="AJ66" s="3259"/>
      <c r="AK66" s="3259" t="s">
        <v>3146</v>
      </c>
      <c r="AL66" s="3259">
        <v>31</v>
      </c>
      <c r="AM66" s="3259" t="s">
        <v>3145</v>
      </c>
      <c r="AN66" s="3259" t="s">
        <v>3003</v>
      </c>
      <c r="AO66" s="3259"/>
      <c r="AP66" s="3259" t="s">
        <v>3141</v>
      </c>
      <c r="AQ66" s="3259" t="s">
        <v>3125</v>
      </c>
      <c r="AR66" s="3259"/>
      <c r="AS66" s="3259"/>
      <c r="AT66" s="3259"/>
      <c r="AU66" s="3259"/>
      <c r="AV66" s="3259"/>
      <c r="AW66" s="3259" t="s">
        <v>3144</v>
      </c>
      <c r="AX66" s="3258" t="s">
        <v>955</v>
      </c>
      <c r="AY66" s="3268" t="s">
        <v>3143</v>
      </c>
      <c r="AZ66" s="3259" t="s">
        <v>3142</v>
      </c>
      <c r="BA66" s="3259"/>
      <c r="BB66" s="3268"/>
      <c r="BC66" s="3259"/>
      <c r="BD66" s="3279"/>
      <c r="BE66" s="3259">
        <v>15601100606</v>
      </c>
      <c r="BF66" s="3278"/>
      <c r="BG66" s="3267">
        <v>40153</v>
      </c>
      <c r="BH66" s="3259"/>
      <c r="BI66" s="3259" t="s">
        <v>3141</v>
      </c>
      <c r="BJ66" s="3277">
        <v>40154</v>
      </c>
      <c r="BK66" s="3277"/>
      <c r="BL66" s="3259" t="s">
        <v>3007</v>
      </c>
      <c r="BM66" s="3258" t="s">
        <v>2881</v>
      </c>
      <c r="BN66" s="3259" t="s">
        <v>3008</v>
      </c>
      <c r="BO66" s="3259" t="s">
        <v>3009</v>
      </c>
      <c r="BP66" s="3259"/>
      <c r="BQ66" s="3258" t="e">
        <v>#DIV/0!</v>
      </c>
      <c r="BR66" s="3258" t="e">
        <v>#DIV/0!</v>
      </c>
      <c r="BS66" s="3257" t="s">
        <v>3141</v>
      </c>
      <c r="BT66" s="3257" t="s">
        <v>3140</v>
      </c>
      <c r="BU66" s="3256"/>
      <c r="BV66" s="3255"/>
    </row>
    <row r="67" spans="1:74">
      <c r="A67" s="3276" t="s">
        <v>3139</v>
      </c>
      <c r="B67" s="3259" t="s">
        <v>3138</v>
      </c>
      <c r="C67" s="3268" t="s">
        <v>3137</v>
      </c>
      <c r="D67" s="3268" t="s">
        <v>3136</v>
      </c>
      <c r="E67" s="3259" t="s">
        <v>3135</v>
      </c>
      <c r="F67" s="3275" t="s">
        <v>3134</v>
      </c>
      <c r="G67" s="3259"/>
      <c r="H67" s="3259" t="s">
        <v>3133</v>
      </c>
      <c r="I67" s="3259" t="s">
        <v>3132</v>
      </c>
      <c r="J67" s="3268" t="s">
        <v>3131</v>
      </c>
      <c r="K67" s="3259" t="s">
        <v>3123</v>
      </c>
      <c r="L67" s="3259">
        <v>107.12</v>
      </c>
      <c r="M67" s="3259">
        <v>3</v>
      </c>
      <c r="N67" s="3259" t="s">
        <v>3130</v>
      </c>
      <c r="O67" s="3259"/>
      <c r="P67" s="3259" t="s">
        <v>2972</v>
      </c>
      <c r="Q67" s="3274">
        <v>380000</v>
      </c>
      <c r="R67" s="3273">
        <v>3547</v>
      </c>
      <c r="S67" s="3270">
        <v>58</v>
      </c>
      <c r="T67" s="3272">
        <v>580000</v>
      </c>
      <c r="U67" s="3259">
        <v>5415</v>
      </c>
      <c r="V67" s="3271">
        <v>0.2</v>
      </c>
      <c r="W67" s="3270">
        <v>46.4</v>
      </c>
      <c r="X67" s="3269">
        <v>464000</v>
      </c>
      <c r="Y67" s="3258">
        <v>2009</v>
      </c>
      <c r="Z67" s="3258">
        <v>3</v>
      </c>
      <c r="AA67" s="3258">
        <v>20</v>
      </c>
      <c r="AB67" s="3259">
        <v>1500</v>
      </c>
      <c r="AC67" s="3259" t="s">
        <v>3120</v>
      </c>
      <c r="AD67" s="3268"/>
      <c r="AE67" s="3258" t="s">
        <v>3129</v>
      </c>
      <c r="AF67" s="3259" t="s">
        <v>2975</v>
      </c>
      <c r="AG67" s="3259" t="s">
        <v>2976</v>
      </c>
      <c r="AH67" s="3259"/>
      <c r="AI67" s="3259" t="s">
        <v>3128</v>
      </c>
      <c r="AJ67" s="3267"/>
      <c r="AK67" s="3266" t="s">
        <v>3126</v>
      </c>
      <c r="AL67" s="3258">
        <v>38</v>
      </c>
      <c r="AM67" s="3258" t="s">
        <v>3127</v>
      </c>
      <c r="AN67" s="3265" t="s">
        <v>3126</v>
      </c>
      <c r="AO67" s="3258"/>
      <c r="AP67" s="3258" t="s">
        <v>3121</v>
      </c>
      <c r="AQ67" s="3259" t="s">
        <v>3125</v>
      </c>
      <c r="AR67" s="3258">
        <v>2009</v>
      </c>
      <c r="AS67" s="3258">
        <v>3</v>
      </c>
      <c r="AT67" s="3258">
        <v>20</v>
      </c>
      <c r="AU67" s="3258"/>
      <c r="AV67" s="3258"/>
      <c r="AW67" s="3258" t="s">
        <v>3124</v>
      </c>
      <c r="AX67" s="3258"/>
      <c r="AY67" s="3264"/>
      <c r="AZ67" s="3258" t="s">
        <v>3123</v>
      </c>
      <c r="BA67" s="3258"/>
      <c r="BB67" s="3264"/>
      <c r="BC67" s="3258"/>
      <c r="BD67" s="3263"/>
      <c r="BE67" s="3258"/>
      <c r="BF67" s="3262"/>
      <c r="BG67" s="3261">
        <v>39888</v>
      </c>
      <c r="BH67" s="3258"/>
      <c r="BI67" s="3258" t="s">
        <v>3121</v>
      </c>
      <c r="BJ67" s="3260"/>
      <c r="BK67" s="3260"/>
      <c r="BL67" s="3259" t="s">
        <v>3007</v>
      </c>
      <c r="BM67" s="3258" t="s">
        <v>2881</v>
      </c>
      <c r="BN67" s="3258" t="s">
        <v>3122</v>
      </c>
      <c r="BO67" s="3258" t="s">
        <v>3009</v>
      </c>
      <c r="BP67" s="3258"/>
      <c r="BQ67" s="3258" t="e">
        <v>#DIV/0!</v>
      </c>
      <c r="BR67" s="3258" t="e">
        <v>#DIV/0!</v>
      </c>
      <c r="BS67" s="3257" t="s">
        <v>3121</v>
      </c>
      <c r="BT67" s="3257" t="s">
        <v>3120</v>
      </c>
      <c r="BU67" s="3256"/>
      <c r="BV67" s="3255"/>
    </row>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4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44"/>
      <c r="C2" s="3444"/>
      <c r="D2" s="3444"/>
      <c r="E2" s="3444"/>
    </row>
    <row r="3" spans="1:5" ht="13.5" customHeight="1">
      <c r="A3" s="1362"/>
      <c r="B3" s="1362"/>
      <c r="C3" s="1362"/>
      <c r="D3" s="1362"/>
      <c r="E3" s="1362"/>
    </row>
    <row r="4" spans="1:5" ht="19.5" thickBot="1">
      <c r="A4" s="3445" t="str">
        <f>IF(项目基本情况!D5="房地产市场价值","估价结果一览表（市场价值不需本页表格)","估价结果一览表")</f>
        <v>估价结果一览表（市场价值不需本页表格)</v>
      </c>
      <c r="B4" s="3445"/>
      <c r="C4" s="3445"/>
      <c r="D4" s="3445"/>
      <c r="E4" s="3445"/>
    </row>
    <row r="5" spans="1:5" ht="14.25" customHeight="1" thickTop="1">
      <c r="A5" s="1359"/>
      <c r="B5" s="1363" t="s">
        <v>742</v>
      </c>
      <c r="C5" s="3446" t="s">
        <v>775</v>
      </c>
      <c r="D5" s="3447"/>
      <c r="E5" s="1359"/>
    </row>
    <row r="6" spans="1:5" ht="14.25">
      <c r="A6" s="1359"/>
      <c r="B6" s="1364" t="str">
        <f>项目基本情况!I1</f>
        <v>北京市房地产</v>
      </c>
      <c r="C6" s="3448">
        <f>项目基本情况!C12</f>
        <v>64.19</v>
      </c>
      <c r="D6" s="3448"/>
      <c r="E6" s="1359"/>
    </row>
    <row r="7" spans="1:5" ht="14.25">
      <c r="A7" s="1359"/>
      <c r="B7" s="3442" t="s">
        <v>776</v>
      </c>
      <c r="C7" s="1365" t="str">
        <f>IF('数据-取费表'!B3="万元","总价（万元）","总价（元）")</f>
        <v>总价（元）</v>
      </c>
      <c r="D7" s="1366">
        <f>IF('数据-取费表'!E3="否",结果表!I102,'结果表 (1修多)'!I104)</f>
        <v>0</v>
      </c>
      <c r="E7" s="1359"/>
    </row>
    <row r="8" spans="1:5" ht="14.25">
      <c r="A8" s="1359"/>
      <c r="B8" s="3442"/>
      <c r="C8" s="1367" t="s">
        <v>1162</v>
      </c>
      <c r="D8" s="1368" t="str">
        <f>IF('数据-取费表'!B3="万元",NUMBERSTRING(INT(D7*10000),2)&amp;"元整",NUMBERSTRING(INT(D7),2)&amp;"元整")</f>
        <v>零元整</v>
      </c>
      <c r="E8" s="1359"/>
    </row>
    <row r="9" spans="1:5" ht="14.25">
      <c r="A9" s="1359"/>
      <c r="B9" s="3442"/>
      <c r="C9" s="1369" t="s">
        <v>1259</v>
      </c>
      <c r="D9" s="1366" t="e">
        <f>IF('数据-取费表'!E3="否",结果表!I103,'结果表 (1修多)'!I105)</f>
        <v>#DIV/0!</v>
      </c>
      <c r="E9" s="1359"/>
    </row>
    <row r="10" spans="1:5" ht="14.25">
      <c r="A10" s="1359"/>
      <c r="B10" s="3449"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449"/>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449" t="str">
        <f>IF('数据-取费表'!E3="否",结果表!F110,'结果表 (1修多)'!F112)</f>
        <v>3.房地产抵押价值</v>
      </c>
      <c r="C15" s="1360" t="str">
        <f>C7</f>
        <v>总价（元）</v>
      </c>
      <c r="D15" s="1366">
        <f>IF('数据-取费表'!E3="否",结果表!I110,'结果表 (1修多)'!I112)</f>
        <v>0</v>
      </c>
      <c r="E15" s="1359"/>
    </row>
    <row r="16" spans="1:5" ht="14.25">
      <c r="A16" s="1359"/>
      <c r="B16" s="3449"/>
      <c r="C16" s="1367" t="s">
        <v>1162</v>
      </c>
      <c r="D16" s="1366" t="str">
        <f>IF('数据-取费表'!B3="万元",NUMBERSTRING(INT(D15*10000),2)&amp;"元整",NUMBERSTRING(INT(D15),2)&amp;"元整")</f>
        <v>零元整</v>
      </c>
      <c r="E16" s="1359"/>
    </row>
    <row r="17" spans="1:5" ht="14.25">
      <c r="A17" s="1359"/>
      <c r="B17" s="3449"/>
      <c r="C17" s="1369" t="s">
        <v>1259</v>
      </c>
      <c r="D17" s="1366" t="e">
        <f>IF('数据-取费表'!E3="否",结果表!I111,'结果表 (1修多)'!I113)</f>
        <v>#DIV/0!</v>
      </c>
      <c r="E17" s="1359"/>
    </row>
    <row r="18" spans="1:5" ht="14.25">
      <c r="A18" s="1359"/>
      <c r="B18" s="3449" t="str">
        <f>IF('数据-取费表'!E3="否",结果表!F112,'结果表 (1修多)'!F114)</f>
        <v>——</v>
      </c>
      <c r="C18" s="1360" t="str">
        <f>C7</f>
        <v>总价（元）</v>
      </c>
      <c r="D18" s="1366" t="str">
        <f>IF('数据-取费表'!E3="否",结果表!I112,'结果表 (1修多)'!I114)</f>
        <v>——</v>
      </c>
      <c r="E18" s="1359"/>
    </row>
    <row r="19" spans="1:5" ht="14.25">
      <c r="A19" s="1359"/>
      <c r="B19" s="3449"/>
      <c r="C19" s="1367" t="s">
        <v>1162</v>
      </c>
      <c r="D19" s="1366" t="e">
        <f>IF('数据-取费表'!B3="万元",NUMBERSTRING(INT(D18*10000),2)&amp;"元整",NUMBERSTRING(INT(D18),2)&amp;"元整")</f>
        <v>#VALUE!</v>
      </c>
      <c r="E19" s="1359"/>
    </row>
    <row r="20" spans="1:5" ht="14.25">
      <c r="A20" s="1359"/>
      <c r="B20" s="3449"/>
      <c r="C20" s="1369" t="s">
        <v>1259</v>
      </c>
      <c r="D20" s="1366" t="str">
        <f>IF('数据-取费表'!E3="否",结果表!I113,'结果表 (1修多)'!I115)</f>
        <v>——</v>
      </c>
      <c r="E20" s="1359"/>
    </row>
    <row r="21" spans="1:5" ht="14.25">
      <c r="A21" s="1359"/>
      <c r="B21" s="3442" t="str">
        <f>IF('数据-取费表'!E3="否",结果表!F114,'结果表 (1修多)'!F116)</f>
        <v>——</v>
      </c>
      <c r="C21" s="1365" t="str">
        <f>C7</f>
        <v>总价（元）</v>
      </c>
      <c r="D21" s="1366" t="str">
        <f>IF('数据-取费表'!E3="否",结果表!I114,'结果表 (1修多)'!I116)</f>
        <v>——</v>
      </c>
      <c r="E21" s="1359"/>
    </row>
    <row r="22" spans="1:5" ht="14.25">
      <c r="A22" s="1359"/>
      <c r="B22" s="3442"/>
      <c r="C22" s="1367" t="s">
        <v>1162</v>
      </c>
      <c r="D22" s="1368" t="e">
        <f>IF('数据-取费表'!B3="万元",NUMBERSTRING(INT(D21*10000),2)&amp;"元整",NUMBERSTRING(INT(D21),2)&amp;"元整")</f>
        <v>#VALUE!</v>
      </c>
      <c r="E22" s="1359"/>
    </row>
    <row r="23" spans="1:5" ht="15" thickBot="1">
      <c r="A23" s="1359"/>
      <c r="B23" s="3443"/>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434" t="s">
        <v>1260</v>
      </c>
      <c r="C25" s="3434"/>
      <c r="D25" s="3434"/>
      <c r="E25" s="1359"/>
    </row>
    <row r="26" spans="1:5" ht="18.75" customHeight="1" thickTop="1">
      <c r="A26" s="1359"/>
      <c r="B26" s="3437" t="s">
        <v>1161</v>
      </c>
      <c r="C26" s="3438"/>
      <c r="D26" s="3435" t="s">
        <v>1160</v>
      </c>
      <c r="E26" s="1359"/>
    </row>
    <row r="27" spans="1:5" ht="18.75" customHeight="1">
      <c r="A27" s="1359"/>
      <c r="B27" s="3439"/>
      <c r="C27" s="3440"/>
      <c r="D27" s="3436"/>
      <c r="E27" s="1359"/>
    </row>
    <row r="28" spans="1:5" ht="14.25">
      <c r="A28" s="1359"/>
      <c r="B28" s="3427" t="s">
        <v>776</v>
      </c>
      <c r="C28" s="1376" t="s">
        <v>1163</v>
      </c>
      <c r="D28" s="1377">
        <f>IF('数据-取费表'!E3="否",结果表!I102,'结果表 (1修多)'!I104)</f>
        <v>0</v>
      </c>
      <c r="E28" s="1359"/>
    </row>
    <row r="29" spans="1:5" ht="14.25">
      <c r="A29" s="1359"/>
      <c r="B29" s="3428"/>
      <c r="C29" s="1378" t="s">
        <v>1162</v>
      </c>
      <c r="D29" s="1379" t="str">
        <f>IF('数据-取费表'!B3="万元",NUMBERSTRING(INT(D28*10000),2)&amp;"元整",NUMBERSTRING(INT(D28),2)&amp;"元整")</f>
        <v>零元整</v>
      </c>
      <c r="E29" s="1359"/>
    </row>
    <row r="30" spans="1:5" ht="14.25">
      <c r="A30" s="1359"/>
      <c r="B30" s="3429"/>
      <c r="C30" s="1369" t="s">
        <v>1165</v>
      </c>
      <c r="D30" s="1380" t="e">
        <f>IF('数据-取费表'!E3="否",结果表!I103,'结果表 (1修多)'!I105)</f>
        <v>#DIV/0!</v>
      </c>
      <c r="E30" s="1359"/>
    </row>
    <row r="31" spans="1:5" ht="14.25">
      <c r="A31" s="1359"/>
      <c r="B31" s="3432" t="str">
        <f>B10</f>
        <v>2.估价师所知悉的法定优先受偿款</v>
      </c>
      <c r="C31" s="1381" t="s">
        <v>1164</v>
      </c>
      <c r="D31" s="1382">
        <f>IF('数据-取费表'!E3="否",结果表!I105,'结果表 (1修多)'!I107)</f>
        <v>0</v>
      </c>
      <c r="E31" s="1359"/>
    </row>
    <row r="32" spans="1:5" ht="14.25">
      <c r="A32" s="1359"/>
      <c r="B32" s="344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430" t="str">
        <f>B15</f>
        <v>3.房地产抵押价值</v>
      </c>
      <c r="C36" s="1381" t="str">
        <f>C28</f>
        <v>总价</v>
      </c>
      <c r="D36" s="1382">
        <f>IF('数据-取费表'!E3="否",结果表!I110,'结果表 (1修多)'!I112)</f>
        <v>0</v>
      </c>
      <c r="E36" s="1359"/>
    </row>
    <row r="37" spans="1:5" ht="14.25">
      <c r="A37" s="1359"/>
      <c r="B37" s="3430"/>
      <c r="C37" s="1378" t="s">
        <v>1162</v>
      </c>
      <c r="D37" s="1383" t="str">
        <f>IF('数据-取费表'!B3="万元",NUMBERSTRING(INT(D36*10000),2)&amp;"元整",NUMBERSTRING(INT(D36),2)&amp;"元整")</f>
        <v>零元整</v>
      </c>
      <c r="E37" s="1359"/>
    </row>
    <row r="38" spans="1:5" ht="14.25">
      <c r="A38" s="1359"/>
      <c r="B38" s="3430"/>
      <c r="C38" s="1369" t="s">
        <v>1166</v>
      </c>
      <c r="D38" s="1380" t="e">
        <f>IF('数据-取费表'!E3="否",结果表!D113,'结果表 (1修多)'!D117)</f>
        <v>#DIV/0!</v>
      </c>
      <c r="E38" s="1359"/>
    </row>
    <row r="39" spans="1:5" ht="14.25">
      <c r="A39" s="1359"/>
      <c r="B39" s="3431" t="str">
        <f>B18</f>
        <v>——</v>
      </c>
      <c r="C39" s="1381" t="str">
        <f>C28</f>
        <v>总价</v>
      </c>
      <c r="D39" s="1382" t="str">
        <f>IF('数据-取费表'!E3="否",结果表!I112,'结果表 (1修多)'!I114)</f>
        <v>——</v>
      </c>
      <c r="E39" s="1359"/>
    </row>
    <row r="40" spans="1:5" ht="14.25">
      <c r="A40" s="1359"/>
      <c r="B40" s="3431"/>
      <c r="C40" s="1378" t="s">
        <v>1162</v>
      </c>
      <c r="D40" s="1383" t="e">
        <f>IF('数据-取费表'!B3="万元",NUMBERSTRING(INT(D39*10000),2)&amp;"元整",NUMBERSTRING(INT(D39),2)&amp;"元整")</f>
        <v>#VALUE!</v>
      </c>
      <c r="E40" s="1359"/>
    </row>
    <row r="41" spans="1:5" ht="14.25">
      <c r="A41" s="1359"/>
      <c r="B41" s="3431"/>
      <c r="C41" s="1369" t="s">
        <v>1166</v>
      </c>
      <c r="D41" s="1380" t="str">
        <f>IF('数据-取费表'!E3="否",结果表!D115,'结果表 (1修多)'!D119)</f>
        <v>——</v>
      </c>
      <c r="E41" s="1359"/>
    </row>
    <row r="42" spans="1:5" ht="14.25">
      <c r="A42" s="1359"/>
      <c r="B42" s="3430" t="str">
        <f>B21</f>
        <v>——</v>
      </c>
      <c r="C42" s="1381" t="str">
        <f>C28</f>
        <v>总价</v>
      </c>
      <c r="D42" s="1382" t="str">
        <f>IF('数据-取费表'!E3="否",结果表!I114,'结果表 (1修多)'!I116)</f>
        <v>——</v>
      </c>
      <c r="E42" s="1359"/>
    </row>
    <row r="43" spans="1:5" ht="14.25">
      <c r="A43" s="1359"/>
      <c r="B43" s="3432"/>
      <c r="C43" s="1378" t="s">
        <v>1162</v>
      </c>
      <c r="D43" s="1384" t="e">
        <f>IF('数据-取费表'!B3="万元",NUMBERSTRING(INT(D42*10000),2)&amp;"元整",NUMBERSTRING(INT(D42),2)&amp;"元整")</f>
        <v>#VALUE!</v>
      </c>
      <c r="E43" s="1359"/>
    </row>
    <row r="44" spans="1:5" ht="15" thickBot="1">
      <c r="A44" s="1359"/>
      <c r="B44" s="3433"/>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456" t="str">
        <f>IF(项目基本情况!D5="房地产市场价值","估价结果一览表","结果表-2")</f>
        <v>估价结果一览表</v>
      </c>
      <c r="B1" s="3456"/>
      <c r="C1" s="3456"/>
      <c r="D1" s="3456"/>
      <c r="E1" s="3456"/>
      <c r="F1" s="3456"/>
      <c r="G1" s="3456"/>
      <c r="H1" s="3456"/>
      <c r="I1" s="3456"/>
    </row>
    <row r="2" spans="1:9" ht="30" customHeight="1" thickTop="1">
      <c r="A2" s="3457" t="s">
        <v>1261</v>
      </c>
      <c r="B2" s="3457" t="s">
        <v>1262</v>
      </c>
      <c r="C2" s="3457" t="s">
        <v>1263</v>
      </c>
      <c r="D2" s="3457" t="str">
        <f>IF('数据-取费表'!E3="否",结果表!D119,'结果表 (1修多)'!D123)</f>
        <v>出让国有建设用地使用权价值</v>
      </c>
      <c r="E2" s="3457"/>
      <c r="F2" s="3457" t="s">
        <v>1264</v>
      </c>
      <c r="G2" s="3457"/>
      <c r="H2" s="3457" t="s">
        <v>1265</v>
      </c>
      <c r="I2" s="3457"/>
    </row>
    <row r="3" spans="1:9" ht="15">
      <c r="A3" s="3450"/>
      <c r="B3" s="3450"/>
      <c r="C3" s="3450"/>
      <c r="D3" s="818" t="s">
        <v>1266</v>
      </c>
      <c r="E3" s="818" t="s">
        <v>1267</v>
      </c>
      <c r="F3" s="818" t="s">
        <v>1266</v>
      </c>
      <c r="G3" s="818" t="s">
        <v>1268</v>
      </c>
      <c r="H3" s="818" t="s">
        <v>1266</v>
      </c>
      <c r="I3" s="818" t="s">
        <v>1268</v>
      </c>
    </row>
    <row r="4" spans="1:9" ht="46.5" customHeight="1">
      <c r="A4" s="818" t="str">
        <f>项目基本情况!I1</f>
        <v>北京市房地产</v>
      </c>
      <c r="B4" s="818">
        <f>结果表!B121</f>
        <v>64.19</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450" t="s">
        <v>1269</v>
      </c>
      <c r="B5" s="3450"/>
      <c r="C5" s="3450"/>
      <c r="D5" s="3451" t="str">
        <f>IF('数据-取费表'!E3="否",结果表!D122,'结果表 (1修多)'!D126)</f>
        <v>零元整</v>
      </c>
      <c r="E5" s="3451"/>
      <c r="F5" s="3451" t="str">
        <f>IF('数据-取费表'!E3="否",结果表!F122,'结果表 (1修多)'!F126)</f>
        <v>零元整</v>
      </c>
      <c r="G5" s="3451"/>
      <c r="H5" s="3451" t="str">
        <f>IF('数据-取费表'!E3="否",结果表!H122,'结果表 (1修多)'!H126)</f>
        <v>零元整</v>
      </c>
      <c r="I5" s="3451"/>
    </row>
    <row r="6" spans="1:9" ht="15.75">
      <c r="A6" s="3452" t="str">
        <f>IF('数据-取费表'!E3="否",结果表!A123,'结果表 (1修多)'!A127)</f>
        <v>——</v>
      </c>
      <c r="B6" s="3452"/>
      <c r="C6" s="3452"/>
      <c r="D6" s="3452">
        <f>IF('数据-取费表'!E3="否",结果表!D123,'结果表 (1修多)'!D127)</f>
        <v>0</v>
      </c>
      <c r="E6" s="3452"/>
      <c r="F6" s="3452"/>
      <c r="G6" s="3452"/>
      <c r="H6" s="3452"/>
      <c r="I6" s="3452"/>
    </row>
    <row r="7" spans="1:9" ht="15">
      <c r="A7" s="3450" t="s">
        <v>1269</v>
      </c>
      <c r="B7" s="3450"/>
      <c r="C7" s="3450"/>
      <c r="D7" s="3458">
        <f>IF('数据-取费表'!E3="否",结果表!D124,'结果表 (1修多)'!D128)</f>
        <v>0</v>
      </c>
      <c r="E7" s="3459"/>
      <c r="F7" s="3459"/>
      <c r="G7" s="3459"/>
      <c r="H7" s="3459"/>
      <c r="I7" s="3460"/>
    </row>
    <row r="8" spans="1:9" ht="15.75">
      <c r="A8" s="3452" t="str">
        <f>IF('数据-取费表'!E3="否",结果表!A125,'结果表 (1修多)'!A129)</f>
        <v>——</v>
      </c>
      <c r="B8" s="3452"/>
      <c r="C8" s="3452"/>
      <c r="D8" s="3452">
        <f>IF('数据-取费表'!E3="否",结果表!D125,'结果表 (1修多)'!D129)</f>
        <v>0</v>
      </c>
      <c r="E8" s="3452"/>
      <c r="F8" s="3452"/>
      <c r="G8" s="3452"/>
      <c r="H8" s="3452"/>
      <c r="I8" s="3452"/>
    </row>
    <row r="9" spans="1:9" ht="15">
      <c r="A9" s="3450" t="s">
        <v>1269</v>
      </c>
      <c r="B9" s="3450"/>
      <c r="C9" s="3450"/>
      <c r="D9" s="3451" t="e">
        <f>IF('数据-取费表'!E3="否",结果表!D126,'结果表 (1修多)'!D130)</f>
        <v>#DIV/0!</v>
      </c>
      <c r="E9" s="3451"/>
      <c r="F9" s="3451"/>
      <c r="G9" s="3451"/>
      <c r="H9" s="3451"/>
      <c r="I9" s="3451"/>
    </row>
    <row r="10" spans="1:9" ht="15.75">
      <c r="A10" s="3452" t="str">
        <f>IF('数据-取费表'!E3="否",结果表!A127,'结果表 (1修多)'!A131)</f>
        <v>——</v>
      </c>
      <c r="B10" s="3452"/>
      <c r="C10" s="3452"/>
      <c r="D10" s="3452" t="e">
        <f>IF('数据-取费表'!E3="否",结果表!D127,'结果表 (1修多)'!D130)</f>
        <v>#DIV/0!</v>
      </c>
      <c r="E10" s="3452"/>
      <c r="F10" s="3452"/>
      <c r="G10" s="3452"/>
      <c r="H10" s="3452"/>
      <c r="I10" s="3452"/>
    </row>
    <row r="11" spans="1:9" ht="15">
      <c r="A11" s="3450" t="s">
        <v>1269</v>
      </c>
      <c r="B11" s="3450"/>
      <c r="C11" s="3450"/>
      <c r="D11" s="3451" t="str">
        <f>IF('数据-取费表'!E3="否",结果表!D128,'结果表 (1修多)'!D132)</f>
        <v>——</v>
      </c>
      <c r="E11" s="3451"/>
      <c r="F11" s="3451"/>
      <c r="G11" s="3451"/>
      <c r="H11" s="3451"/>
      <c r="I11" s="3451"/>
    </row>
    <row r="12" spans="1:9" ht="15.75">
      <c r="A12" s="3452" t="str">
        <f>IF('数据-取费表'!E3="否",结果表!A129,'结果表 (1修多)'!A133)</f>
        <v>——</v>
      </c>
      <c r="B12" s="3452"/>
      <c r="C12" s="3452"/>
      <c r="D12" s="3452" t="str">
        <f>IF('数据-取费表'!E3="否",结果表!D129,'结果表 (1修多)'!D133)</f>
        <v>——</v>
      </c>
      <c r="E12" s="3452"/>
      <c r="F12" s="3452"/>
      <c r="G12" s="3452"/>
      <c r="H12" s="3452"/>
      <c r="I12" s="3452"/>
    </row>
    <row r="13" spans="1:9" ht="15.75" thickBot="1">
      <c r="A13" s="3453" t="s">
        <v>1269</v>
      </c>
      <c r="B13" s="3453"/>
      <c r="C13" s="3453"/>
      <c r="D13" s="3454">
        <f>IF('数据-取费表'!E3="否",结果表!D130,'结果表 (1修多)'!D134)</f>
        <v>0</v>
      </c>
      <c r="E13" s="3454"/>
      <c r="F13" s="3454"/>
      <c r="G13" s="3454"/>
      <c r="H13" s="3454"/>
      <c r="I13" s="3454"/>
    </row>
    <row r="14" spans="1:9" ht="15" thickTop="1">
      <c r="A14" s="3455" t="str">
        <f>IF('数据-取费表'!E3="否",结果表!A131,'结果表 (1修多)'!A135)</f>
        <v>单位：平方米、元、元/平方米（币种：人民币）</v>
      </c>
      <c r="B14" s="3455"/>
      <c r="C14" s="3455"/>
      <c r="D14" s="3455"/>
      <c r="E14" s="3455"/>
      <c r="F14" s="3455"/>
      <c r="G14" s="3455"/>
      <c r="H14" s="3455"/>
      <c r="I14" s="345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462" t="s">
        <v>1282</v>
      </c>
      <c r="B1" s="3462"/>
      <c r="C1" s="3462"/>
      <c r="D1" s="3462"/>
    </row>
    <row r="2" spans="1:4" ht="18">
      <c r="A2" s="3461" t="s">
        <v>1271</v>
      </c>
      <c r="B2" s="3461"/>
      <c r="C2" s="3461"/>
      <c r="D2" s="3461"/>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461" t="s">
        <v>1276</v>
      </c>
      <c r="B7" s="3461"/>
      <c r="C7" s="3461"/>
      <c r="D7" s="3461"/>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463" t="s">
        <v>2737</v>
      </c>
      <c r="B12" s="3464"/>
      <c r="C12" s="3464"/>
      <c r="D12" s="3464"/>
    </row>
    <row r="13" spans="1:4" ht="15.75">
      <c r="A13" s="34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64"/>
      <c r="C13" s="3464"/>
      <c r="D13" s="3464"/>
    </row>
    <row r="14" spans="1:4" ht="30" customHeight="1">
      <c r="A14" s="3463" t="str">
        <f>IF(项目基本情况!D4="抵押","3.抵押双方在办理抵押登记手续时，应使用本公司出具的正式《不动产估价报告书》，特提醒报告使用者注意。","——")</f>
        <v>——</v>
      </c>
      <c r="B14" s="3464"/>
      <c r="C14" s="3464"/>
      <c r="D14" s="3464"/>
    </row>
    <row r="15" spans="1:4" ht="15.75" customHeight="1">
      <c r="A15" s="3463" t="str">
        <f>IF(项目基本情况!D4="抵押","4.本次评估估价师所知悉的法定优先受偿款情况说明如下：","——")</f>
        <v>——</v>
      </c>
      <c r="B15" s="3464"/>
      <c r="C15" s="3464"/>
      <c r="D15" s="3464"/>
    </row>
    <row r="16" spans="1:4" ht="75" customHeight="1">
      <c r="A16" s="3463" t="str">
        <f>IF(项目基本情况!D4="抵押",CONCATENATE(项目基本情况!J13,项目基本情况!J14,项目基本情况!J15),"——")</f>
        <v>——</v>
      </c>
      <c r="B16" s="3463"/>
      <c r="C16" s="3463"/>
      <c r="D16" s="3463"/>
    </row>
    <row r="17" spans="1:4" ht="63.75" customHeight="1">
      <c r="A17" s="3465" t="s">
        <v>1284</v>
      </c>
      <c r="B17" s="3465"/>
      <c r="C17" s="3465"/>
      <c r="D17" s="3465"/>
    </row>
    <row r="18" spans="1:4" ht="15.75" customHeight="1">
      <c r="A18" s="3463" t="str">
        <f>IF(项目基本情况!D4="抵押",结果表!L106,"——")</f>
        <v>——</v>
      </c>
      <c r="B18" s="3463"/>
      <c r="C18" s="3463"/>
      <c r="D18" s="3463"/>
    </row>
    <row r="19" spans="1:4" ht="46.5" customHeight="1">
      <c r="A19" s="34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63"/>
      <c r="C19" s="3463"/>
      <c r="D19" s="3463"/>
    </row>
    <row r="20" spans="1:4" ht="15">
      <c r="A20" s="3465" t="s">
        <v>2738</v>
      </c>
      <c r="B20" s="3465"/>
      <c r="C20" s="3465"/>
      <c r="D20" s="346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471" t="s">
        <v>1363</v>
      </c>
      <c r="B15" s="3466" t="s">
        <v>1364</v>
      </c>
      <c r="C15" s="3467"/>
    </row>
    <row r="16" spans="1:7" ht="14.25">
      <c r="A16" s="3472"/>
      <c r="B16" s="3466" t="s">
        <v>1365</v>
      </c>
      <c r="C16" s="3467"/>
    </row>
    <row r="17" spans="1:3" ht="14.25">
      <c r="A17" s="3472"/>
      <c r="B17" s="3466" t="s">
        <v>1366</v>
      </c>
      <c r="C17" s="3467"/>
    </row>
    <row r="18" spans="1:3" ht="14.25">
      <c r="A18" s="3473"/>
      <c r="B18" s="3468" t="s">
        <v>1367</v>
      </c>
      <c r="C18" s="3467"/>
    </row>
    <row r="19" spans="1:3" ht="14.25">
      <c r="A19" s="1412" t="s">
        <v>1368</v>
      </c>
      <c r="B19" s="1413"/>
      <c r="C19" s="1414"/>
    </row>
    <row r="20" spans="1:3" ht="14.25">
      <c r="A20" s="3469" t="s">
        <v>1369</v>
      </c>
      <c r="B20" s="3468" t="s">
        <v>1370</v>
      </c>
      <c r="C20" s="3467"/>
    </row>
    <row r="21" spans="1:3" ht="14.25">
      <c r="A21" s="3469"/>
      <c r="B21" s="3468" t="s">
        <v>1371</v>
      </c>
      <c r="C21" s="3467"/>
    </row>
    <row r="22" spans="1:3" ht="14.25">
      <c r="A22" s="3469"/>
      <c r="B22" s="3468" t="s">
        <v>1372</v>
      </c>
      <c r="C22" s="3467"/>
    </row>
    <row r="23" spans="1:3" ht="14.25">
      <c r="A23" s="3469"/>
      <c r="B23" s="3470" t="s">
        <v>1373</v>
      </c>
      <c r="C23" s="1415" t="s">
        <v>1374</v>
      </c>
    </row>
    <row r="24" spans="1:3" ht="14.25">
      <c r="A24" s="3469"/>
      <c r="B24" s="3470"/>
      <c r="C24" s="1415" t="s">
        <v>1375</v>
      </c>
    </row>
    <row r="25" spans="1:3" ht="14.25">
      <c r="A25" s="3469"/>
      <c r="B25" s="3470"/>
      <c r="C25" s="1415" t="s">
        <v>1376</v>
      </c>
    </row>
    <row r="26" spans="1:3" ht="14.25">
      <c r="A26" s="3469"/>
      <c r="B26" s="3470"/>
      <c r="C26" s="1415" t="s">
        <v>1377</v>
      </c>
    </row>
    <row r="27" spans="1:3" ht="14.25">
      <c r="A27" s="3469"/>
      <c r="B27" s="3470"/>
      <c r="C27" s="1415" t="s">
        <v>1378</v>
      </c>
    </row>
    <row r="28" spans="1:3" ht="14.25">
      <c r="A28" s="3469"/>
      <c r="B28" s="3470"/>
      <c r="C28" s="1415" t="s">
        <v>1379</v>
      </c>
    </row>
    <row r="29" spans="1:3" ht="14.25">
      <c r="A29" s="3469"/>
      <c r="B29" s="3470"/>
      <c r="C29" s="1415" t="s">
        <v>1380</v>
      </c>
    </row>
    <row r="30" spans="1:3" ht="14.25">
      <c r="A30" s="3469"/>
      <c r="B30" s="3470"/>
      <c r="C30" s="1415" t="s">
        <v>1381</v>
      </c>
    </row>
    <row r="31" spans="1:3" ht="14.25">
      <c r="A31" s="3469"/>
      <c r="B31" s="347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44337</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f ca="1">IF(C6&lt;B2,"已过期",1120050019)</f>
        <v>1120050019</v>
      </c>
      <c r="C6" s="3068">
        <v>44395</v>
      </c>
      <c r="D6" s="3079" t="str">
        <f t="shared" ca="1" si="0"/>
        <v>王鹏（注册号：1120050019）</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2713</v>
      </c>
      <c r="B12" s="1301">
        <f ca="1">IF(C12&lt;B2,"已过期",1120040230)</f>
        <v>1120040230</v>
      </c>
      <c r="C12" s="3071">
        <v>44864</v>
      </c>
      <c r="D12" s="3079" t="str">
        <f t="shared" ca="1" si="0"/>
        <v>苏海（注册号：1120040230）</v>
      </c>
      <c r="E12" s="3081" t="s">
        <v>2713</v>
      </c>
      <c r="F12" s="1301">
        <f ca="1">IF(G12&lt;B2,"已过期",98030020)</f>
        <v>98030020</v>
      </c>
      <c r="G12" s="3069">
        <v>47118</v>
      </c>
      <c r="H12" s="3070" t="str">
        <f t="shared" ca="1" si="1"/>
        <v>苏海（注册号：98030020）</v>
      </c>
    </row>
    <row r="13" spans="1:8" ht="24" customHeight="1">
      <c r="A13" s="1301" t="s">
        <v>761</v>
      </c>
      <c r="B13" s="1301">
        <f ca="1">IF(C13&lt;B2,"已过期",1120020033)</f>
        <v>1120020033</v>
      </c>
      <c r="C13" s="3068">
        <v>44339</v>
      </c>
      <c r="D13" s="3079" t="str">
        <f t="shared" ca="1" si="0"/>
        <v>刘敬东（注册号：1120020033）</v>
      </c>
      <c r="E13" s="3081" t="s">
        <v>761</v>
      </c>
      <c r="F13" s="1301">
        <f ca="1">IF(G13&lt;B2,"已过期",2000110137)</f>
        <v>2000110137</v>
      </c>
      <c r="G13" s="3069">
        <v>46387</v>
      </c>
      <c r="H13" s="3070" t="str">
        <f t="shared" ca="1" si="1"/>
        <v>刘敬东（注册号：2000110137）</v>
      </c>
    </row>
    <row r="14" spans="1:8" ht="24" customHeight="1">
      <c r="A14" s="1301" t="s">
        <v>2730</v>
      </c>
      <c r="B14" s="1301">
        <f ca="1">IF(C14&lt;B2,"已过期",1119980106)</f>
        <v>1119980106</v>
      </c>
      <c r="C14" s="3071">
        <v>44969</v>
      </c>
      <c r="D14" s="3079" t="str">
        <f t="shared" ca="1" si="0"/>
        <v>刘俊财（注册号：1119980106）</v>
      </c>
      <c r="E14" s="3081" t="s">
        <v>2830</v>
      </c>
      <c r="F14" s="1301">
        <f ca="1">IF(G14&lt;B2,"已过期",96010063)</f>
        <v>96010063</v>
      </c>
      <c r="G14" s="3069">
        <v>47483</v>
      </c>
      <c r="H14" s="3070" t="str">
        <f t="shared" ca="1" si="1"/>
        <v>刘俊财（注册号：96010063）</v>
      </c>
    </row>
    <row r="15" spans="1:8" ht="24" customHeight="1">
      <c r="A15" s="1301"/>
      <c r="B15" s="1301"/>
      <c r="C15" s="3071"/>
      <c r="D15" s="3079" t="str">
        <f t="shared" ref="D15" si="2">A15&amp;"（注册号："&amp;B15&amp;"）"</f>
        <v>（注册号：）</v>
      </c>
      <c r="E15" s="3081" t="s">
        <v>2834</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474" t="s">
        <v>762</v>
      </c>
      <c r="B17" s="3474"/>
      <c r="C17" s="3474"/>
      <c r="D17" s="3474"/>
      <c r="E17" s="3474"/>
      <c r="F17" s="3474"/>
      <c r="G17" s="3474"/>
      <c r="H17" s="3474"/>
    </row>
    <row r="18" spans="1:8" ht="24" customHeight="1">
      <c r="A18" s="3475" t="s">
        <v>763</v>
      </c>
      <c r="B18" s="3475"/>
      <c r="C18" s="3475"/>
      <c r="D18" s="3067"/>
      <c r="E18" s="3476" t="s">
        <v>764</v>
      </c>
      <c r="F18" s="3475"/>
      <c r="G18" s="3475"/>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2831</v>
      </c>
      <c r="B20" s="3074" t="s">
        <v>2832</v>
      </c>
      <c r="C20" s="3069">
        <v>44820</v>
      </c>
      <c r="D20" s="3082"/>
      <c r="E20" s="3084" t="s">
        <v>768</v>
      </c>
      <c r="F20" s="3074" t="s">
        <v>769</v>
      </c>
      <c r="G20" s="3075">
        <v>44377</v>
      </c>
    </row>
    <row r="21" spans="1:8" s="3057" customFormat="1" ht="24" customHeight="1">
      <c r="A21" s="3074"/>
      <c r="B21" s="3074"/>
      <c r="C21" s="3076"/>
      <c r="D21" s="3083"/>
      <c r="E21" s="3084" t="s">
        <v>770</v>
      </c>
      <c r="F21" s="3077" t="s">
        <v>2729</v>
      </c>
      <c r="G21" s="3078">
        <v>44012</v>
      </c>
    </row>
    <row r="22" spans="1:8" ht="24" customHeight="1">
      <c r="C22" s="3060"/>
      <c r="D22" s="3060"/>
      <c r="E22" s="3085"/>
      <c r="F22" s="3086"/>
      <c r="G22" s="3087"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47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本次估价的“房地产价值”是指在正常市场情况下，在价值时点2009年7月8日，估价对象规划用途为，假定未设立法定优先受偿款下的房地产市场价值。</v>
      </c>
    </row>
    <row r="54" spans="1:4">
      <c r="A54" s="3477"/>
      <c r="B54" s="9" t="s">
        <v>1519</v>
      </c>
      <c r="C54" s="9" t="s">
        <v>1520</v>
      </c>
    </row>
    <row r="55" spans="1:4">
      <c r="A55" s="3477"/>
      <c r="B55" s="9" t="s">
        <v>1521</v>
      </c>
      <c r="C55" s="9" t="s">
        <v>1522</v>
      </c>
    </row>
    <row r="56" spans="1:4">
      <c r="A56" s="3477"/>
      <c r="B56" s="9" t="s">
        <v>1523</v>
      </c>
      <c r="C56" s="9" t="s">
        <v>1524</v>
      </c>
    </row>
    <row r="57" spans="1:4">
      <c r="A57" s="347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存贷款利率</vt:lpstr>
      <vt:lpstr>Sheet3</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2021-05-21T07:44:51Z</dcterms:modified>
</cp:coreProperties>
</file>