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85" windowWidth="20730" windowHeight="55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9" i="35" l="1"/>
  <c r="G29" i="35"/>
  <c r="E29" i="35"/>
  <c r="N20" i="1"/>
  <c r="E92" i="35" l="1"/>
  <c r="D92" i="35"/>
  <c r="B14" i="74" l="1"/>
  <c r="N6" i="1" l="1"/>
  <c r="C29" i="35" s="1"/>
  <c r="C31" i="35" l="1"/>
  <c r="Y6" i="1"/>
  <c r="G19" i="6" l="1"/>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L48" i="67"/>
  <c r="M6" i="67"/>
  <c r="M23" i="15"/>
  <c r="E9" i="76"/>
  <c r="F38" i="67"/>
  <c r="M22" i="67"/>
  <c r="B13" i="76"/>
  <c r="D6" i="73"/>
  <c r="F26" i="15"/>
  <c r="B10" i="76"/>
  <c r="F7" i="73"/>
  <c r="D7" i="73"/>
  <c r="F16" i="15"/>
  <c r="F7" i="67"/>
  <c r="F37" i="67"/>
  <c r="F40" i="67"/>
  <c r="F3" i="73"/>
  <c r="AO13" i="1"/>
  <c r="D5" i="73"/>
  <c r="B11" i="76"/>
  <c r="M26" i="15"/>
  <c r="F8" i="15"/>
  <c r="C76" i="15"/>
  <c r="M8" i="67"/>
  <c r="M8" i="15"/>
  <c r="E11" i="76"/>
  <c r="E2" i="69"/>
  <c r="M23" i="67"/>
  <c r="F6" i="67"/>
  <c r="E12" i="76"/>
  <c r="F43" i="15"/>
  <c r="F7" i="15"/>
  <c r="F13" i="67"/>
  <c r="F36" i="67"/>
  <c r="B12" i="76"/>
  <c r="C76" i="67"/>
  <c r="F20" i="31"/>
  <c r="M29" i="67"/>
  <c r="F6" i="73"/>
  <c r="M26" i="67"/>
  <c r="B8" i="76"/>
  <c r="F16" i="67"/>
  <c r="M29" i="15"/>
  <c r="F4" i="73"/>
  <c r="L48" i="15"/>
  <c r="M6" i="15"/>
  <c r="M24" i="67"/>
  <c r="E10" i="76"/>
  <c r="E8" i="76"/>
  <c r="F37" i="15"/>
  <c r="L47" i="15"/>
  <c r="M28" i="67"/>
  <c r="E2" i="68"/>
  <c r="F42" i="15"/>
  <c r="B9" i="76"/>
  <c r="L47" i="67"/>
  <c r="F6" i="15"/>
  <c r="F8" i="67"/>
  <c r="M24" i="15"/>
  <c r="E7" i="76"/>
  <c r="F9" i="67"/>
  <c r="F5" i="73"/>
  <c r="M22" i="15"/>
  <c r="M9" i="67"/>
  <c r="M9" i="15"/>
  <c r="M28" i="15"/>
  <c r="F40" i="15"/>
  <c r="F42" i="67"/>
  <c r="F26" i="67"/>
  <c r="J15" i="15"/>
  <c r="J15" i="67"/>
  <c r="F36" i="15"/>
  <c r="B7" i="76"/>
  <c r="F38" i="15"/>
  <c r="E13" i="76"/>
  <c r="D3" i="73"/>
  <c r="F43" i="67"/>
  <c r="F9" i="15"/>
  <c r="F13" i="15"/>
  <c r="H20" i="35" l="1"/>
  <c r="U20" i="35" s="1"/>
  <c r="W18" i="35"/>
  <c r="B62" i="43"/>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B20" i="35" l="1"/>
  <c r="W20" i="35"/>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2" i="35" s="1"/>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6"/>
  <c r="D2" i="35"/>
  <c r="L51" i="15"/>
  <c r="D2" i="37"/>
  <c r="D102" i="9" l="1"/>
  <c r="D21" i="9"/>
  <c r="Q57" i="67"/>
  <c r="Q62" i="67" s="1"/>
  <c r="Q66" i="67"/>
  <c r="Q75" i="67" s="1"/>
  <c r="B3" i="67"/>
  <c r="L57" i="15"/>
  <c r="L60" i="15" s="1"/>
  <c r="Q57" i="15" s="1"/>
  <c r="Q67" i="15"/>
  <c r="B2" i="36"/>
  <c r="B3" i="36"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AO9" i="1"/>
  <c r="C19" i="9"/>
  <c r="AO6" i="1"/>
  <c r="AO8" i="1"/>
  <c r="D34" i="9"/>
  <c r="AO11" i="1"/>
  <c r="D35" i="9"/>
  <c r="AO12" i="1"/>
  <c r="AO7" i="1"/>
  <c r="G19" i="9" l="1"/>
  <c r="C102" i="9"/>
  <c r="C21" i="9"/>
  <c r="D22" i="9"/>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F4" i="52" s="1"/>
  <c r="B51" i="72" s="1"/>
  <c r="I118" i="9"/>
  <c r="H118" i="9" s="1"/>
  <c r="I4" i="52" l="1"/>
  <c r="G4" i="52"/>
  <c r="B52" i="72" s="1"/>
  <c r="H102" i="9"/>
  <c r="C104" i="9"/>
  <c r="E118" i="9"/>
  <c r="F119" i="9"/>
  <c r="F5" i="52" s="1"/>
  <c r="B53" i="72" s="1"/>
  <c r="C105" i="9"/>
  <c r="E4" i="52" l="1"/>
  <c r="B48" i="72" s="1"/>
  <c r="D118" i="9"/>
  <c r="H4" i="52"/>
  <c r="H101" i="9"/>
  <c r="H119" i="9"/>
  <c r="H5" i="52" s="1"/>
  <c r="D7" i="53"/>
  <c r="B21" i="72" s="1"/>
  <c r="M48" i="9" l="1"/>
  <c r="H107" i="9"/>
  <c r="D5" i="53"/>
  <c r="D45" i="9"/>
  <c r="D4" i="52"/>
  <c r="B47" i="72" s="1"/>
  <c r="D119" i="9"/>
  <c r="D5" i="52" s="1"/>
  <c r="B49" i="72" s="1"/>
  <c r="B20" i="72" l="1"/>
  <c r="D6" i="53"/>
  <c r="B22" i="72" s="1"/>
  <c r="D53" i="9"/>
  <c r="D55" i="9"/>
  <c r="M53" i="9" s="1"/>
  <c r="D52" i="9"/>
  <c r="C78" i="9"/>
  <c r="C73" i="9" s="1"/>
  <c r="C85" i="9"/>
  <c r="C64" i="9"/>
  <c r="C63" i="9" s="1"/>
  <c r="C67" i="9" s="1"/>
  <c r="C93" i="9"/>
  <c r="C86" i="9" s="1"/>
  <c r="C72" i="9"/>
  <c r="D122" i="9"/>
  <c r="H108" i="9"/>
  <c r="D13" i="53"/>
  <c r="C79" i="9" l="1"/>
  <c r="C80" i="9" s="1"/>
  <c r="E80" i="9" s="1"/>
  <c r="E81" i="9" s="1"/>
  <c r="D15" i="53"/>
  <c r="B31" i="72" s="1"/>
  <c r="C68" i="9"/>
  <c r="D54" i="9" s="1"/>
  <c r="D59" i="9"/>
  <c r="M55" i="9" s="1"/>
  <c r="B30" i="72"/>
  <c r="D14" i="53"/>
  <c r="B32" i="72" s="1"/>
  <c r="D8" i="52"/>
  <c r="D123" i="9"/>
  <c r="D9" i="52" s="1"/>
  <c r="C95" i="9"/>
  <c r="C96" i="9" l="1"/>
  <c r="E96" i="9" s="1"/>
  <c r="E97" i="9" s="1"/>
  <c r="C81" i="9"/>
  <c r="C97" i="9" l="1"/>
  <c r="D58" i="9" s="1"/>
  <c r="D56" i="9" s="1"/>
  <c r="M54" i="9" s="1"/>
  <c r="N57" i="9" s="1"/>
  <c r="N58" i="9" l="1"/>
  <c r="P57" i="9"/>
  <c r="N59" i="9"/>
  <c r="N60" i="9" l="1"/>
  <c r="N61" i="9"/>
  <c r="F14" i="74"/>
  <c r="B5" i="74" l="1"/>
  <c r="G14"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<sst xmlns="http://schemas.openxmlformats.org/spreadsheetml/2006/main" count="7849" uniqueCount="3432">
  <si>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</si>
  <si>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</si>
  <si>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</si>
  <si>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</si>
  <si>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</si>
  <si>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</si>
  <si>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</si>
  <si>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</si>
  <si>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</si>
  <si>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</si>
  <si>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</si>
  <si>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</si>
  <si>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</si>
  <si>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</si>
  <si>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</si>
  <si>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</si>
  <si>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</si>
  <si>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</si>
  <si>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</si>
  <si>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</si>
  <si>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</si>
  <si>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</si>
  <si>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</si>
  <si>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</si>
  <si>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</si>
  <si>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</si>
  <si>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</si>
  <si>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</si>
  <si>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</si>
  <si>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</si>
  <si>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</si>
  <si>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</si>
  <si>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</si>
  <si>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</si>
  <si>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</si>
  <si>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</si>
  <si>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</si>
  <si>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</si>
  <si>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</si>
  <si>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</si>
  <si>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</si>
  <si>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</si>
  <si>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</si>
  <si>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</si>
  <si>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</si>
  <si>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</si>
  <si>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</si>
  <si>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</si>
  <si>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</si>
  <si>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</si>
  <si>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</si>
  <si>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</si>
  <si>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</si>
  <si>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</si>
  <si>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</si>
  <si>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</si>
  <si>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</si>
  <si>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</si>
  <si>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</si>
  <si>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</si>
  <si>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</si>
  <si>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</si>
  <si>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</si>
  <si>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</si>
  <si>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</si>
  <si>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</si>
  <si>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</si>
  <si>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</si>
  <si>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</si>
  <si>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</si>
  <si>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</si>
  <si>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</si>
  <si>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</si>
  <si>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</si>
  <si>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</si>
  <si>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</si>
  <si>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</si>
  <si>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</si>
  <si>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</si>
  <si>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</si>
  <si>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</si>
  <si>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</si>
  <si>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</si>
  <si>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</si>
  <si>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</si>
  <si>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</si>
  <si>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</si>
  <si>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</si>
  <si>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</si>
  <si>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</si>
  <si>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</si>
  <si>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</si>
  <si>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</si>
  <si>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</si>
  <si>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</si>
  <si>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</si>
  <si>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</si>
  <si>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</si>
  <si>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</si>
  <si>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</si>
  <si>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</si>
  <si>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</si>
  <si>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</si>
  <si>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</si>
  <si>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</si>
  <si>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</si>
  <si>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</si>
  <si>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</si>
  <si>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</si>
  <si>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</si>
  <si>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</si>
  <si>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</si>
  <si>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</si>
  <si>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</si>
  <si>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</si>
  <si>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</si>
  <si>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</si>
  <si>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</si>
  <si>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</si>
  <si>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</si>
  <si>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</si>
  <si>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</si>
  <si>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</si>
  <si>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</si>
  <si>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</si>
  <si>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</si>
  <si>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</si>
  <si>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</si>
  <si>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</si>
  <si>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</si>
  <si>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</si>
  <si>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</si>
  <si>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</si>
  <si>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</si>
  <si>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</si>
  <si>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</si>
  <si>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</si>
  <si>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</si>
  <si>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</si>
  <si>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</si>
  <si>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</si>
  <si>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</si>
  <si>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</si>
  <si>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</si>
  <si>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</si>
  <si>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</si>
  <si>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</si>
  <si>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</si>
  <si>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</si>
  <si>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</si>
  <si>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</si>
  <si>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</si>
  <si>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</si>
  <si>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</si>
  <si>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</si>
  <si>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</si>
  <si>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</si>
  <si>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</si>
  <si>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</si>
  <si>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</si>
  <si>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</si>
  <si>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</si>
  <si>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</si>
  <si>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</si>
  <si>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</si>
  <si>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</si>
  <si>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</si>
  <si>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</si>
  <si>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</si>
  <si>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</si>
  <si>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</si>
  <si>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</si>
  <si>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</si>
  <si>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</si>
  <si>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</si>
  <si>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</si>
  <si>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</si>
  <si>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</si>
  <si>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</si>
  <si>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</si>
  <si>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</si>
  <si>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</si>
  <si>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</si>
  <si>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</si>
  <si>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</si>
  <si>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</si>
  <si>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</si>
  <si>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</si>
  <si>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</si>
  <si>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</si>
  <si>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</si>
  <si>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</si>
  <si>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</si>
  <si>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</si>
  <si>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</si>
  <si>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</si>
  <si>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</si>
  <si>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</si>
  <si>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</si>
  <si>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</si>
  <si>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</si>
  <si>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</si>
  <si>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</si>
  <si>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</si>
  <si>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</si>
  <si>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</si>
  <si>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</si>
  <si>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</si>
  <si>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</si>
  <si>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</si>
  <si>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</si>
  <si>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</si>
  <si>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</si>
  <si>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</si>
  <si>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</si>
  <si>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</si>
  <si>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</si>
  <si>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</si>
  <si>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</si>
  <si>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</si>
  <si>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</si>
  <si>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</si>
  <si>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</si>
  <si>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</si>
  <si>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</si>
  <si>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</si>
  <si>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</si>
  <si>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</si>
  <si>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</si>
  <si>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</si>
  <si>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</si>
  <si>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</si>
  <si>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</si>
  <si>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</si>
  <si>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</si>
  <si>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</si>
  <si>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</si>
  <si>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</si>
  <si>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</si>
  <si>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</si>
  <si>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</si>
  <si>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</si>
  <si>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</si>
  <si>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</si>
  <si>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</si>
  <si>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</si>
  <si>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</si>
  <si>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</si>
  <si>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</si>
  <si>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</si>
  <si>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</si>
  <si>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</si>
  <si>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</si>
  <si>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</si>
  <si>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</si>
  <si>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</si>
  <si>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</si>
  <si>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</si>
  <si>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</si>
  <si>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</si>
  <si>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</si>
  <si>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</si>
  <si>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</si>
  <si>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</si>
  <si>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</si>
  <si>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</si>
  <si>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</si>
  <si>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</si>
  <si>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</si>
  <si>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</si>
  <si>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</si>
  <si>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</si>
  <si>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</si>
  <si>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</si>
  <si>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</si>
  <si>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</si>
  <si>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</si>
  <si>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</si>
  <si>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</si>
  <si>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</si>
  <si>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</si>
  <si>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</si>
  <si>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</si>
  <si>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</si>
  <si>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</si>
  <si>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</si>
  <si>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</si>
  <si>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</si>
  <si>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</si>
  <si>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</si>
  <si>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</si>
  <si>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</si>
  <si>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</si>
  <si>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</si>
  <si>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</si>
  <si>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</si>
  <si>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</si>
  <si>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</si>
  <si>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</si>
  <si>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</si>
  <si>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</si>
  <si>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</si>
  <si>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</si>
  <si>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</si>
  <si>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</si>
  <si>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</si>
  <si>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</si>
  <si>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</si>
  <si>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</si>
  <si>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</si>
  <si>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</si>
  <si>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</si>
  <si>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</si>
  <si>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</si>
  <si>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</si>
  <si>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</si>
  <si>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</si>
  <si>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</si>
  <si>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</si>
  <si>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</si>
  <si>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</si>
  <si>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</si>
  <si>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</si>
  <si>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</si>
  <si>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</si>
  <si>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</si>
  <si>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</si>
  <si>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</si>
  <si>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</si>
  <si>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</si>
  <si>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</si>
  <si>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</si>
  <si>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</si>
  <si>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</si>
  <si>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</si>
  <si>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</si>
  <si>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</si>
  <si>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</si>
  <si>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</si>
  <si>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</si>
  <si>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</si>
  <si>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</si>
  <si>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</si>
  <si>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</si>
  <si>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</si>
  <si>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</si>
  <si>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</si>
  <si>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</si>
  <si>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</si>
  <si>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</si>
  <si>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</si>
  <si>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</si>
  <si>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</si>
  <si>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</si>
  <si>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</si>
  <si>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</si>
  <si>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</si>
  <si>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</si>
  <si>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</si>
  <si>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</si>
  <si>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</si>
  <si>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</si>
  <si>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</si>
  <si>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</si>
  <si>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</si>
  <si>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</si>
  <si>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</si>
  <si>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</si>
  <si>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</si>
  <si>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</si>
  <si>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</si>
  <si>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</si>
  <si>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</si>
  <si>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</si>
  <si>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</si>
  <si>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</si>
  <si>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</si>
  <si>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</si>
  <si>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</si>
  <si>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</si>
  <si>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</si>
  <si>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</si>
  <si>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</si>
  <si>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</si>
  <si>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</si>
  <si>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</si>
  <si>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</si>
  <si>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</si>
  <si>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</si>
  <si>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</si>
  <si>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</si>
  <si>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</si>
  <si>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</si>
  <si>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</si>
  <si>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</si>
  <si>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</si>
  <si>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</si>
  <si>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</si>
  <si>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</si>
  <si>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</si>
  <si>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</si>
  <si>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</si>
  <si>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</si>
  <si>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</si>
  <si>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</si>
  <si>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</si>
  <si>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</si>
  <si>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</si>
  <si>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</si>
  <si>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</si>
  <si>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</si>
  <si>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</si>
  <si>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</si>
  <si>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</si>
  <si>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</si>
  <si>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</si>
  <si>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</si>
  <si>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</si>
  <si>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</si>
  <si>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</si>
  <si>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</si>
  <si>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</si>
  <si>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</si>
  <si>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</si>
  <si>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</si>
  <si>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</si>
  <si>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</si>
  <si>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</si>
  <si>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</si>
  <si>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</si>
  <si>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</si>
  <si>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</si>
  <si>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</si>
  <si>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</si>
  <si>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</si>
  <si>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</si>
  <si>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</si>
  <si>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</si>
  <si>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</si>
  <si>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</si>
  <si>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</si>
  <si>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</si>
  <si>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</si>
  <si>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</si>
  <si>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</si>
  <si>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</si>
  <si>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</si>
  <si>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</si>
  <si>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</si>
  <si>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</si>
  <si>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</si>
  <si>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</si>
  <si>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</si>
  <si>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</si>
  <si>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</si>
  <si>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</si>
  <si>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</si>
  <si>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</si>
  <si>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</si>
  <si>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</si>
  <si>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</si>
  <si>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</si>
  <si>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</si>
  <si>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</si>
  <si>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</si>
  <si>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</si>
  <si>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</si>
  <si>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</si>
  <si>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</si>
  <si>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</si>
  <si>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</si>
  <si>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</si>
  <si>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</si>
  <si>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</si>
  <si>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</si>
  <si>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</si>
  <si>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</si>
  <si>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</si>
  <si>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</si>
  <si>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</si>
  <si>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</si>
  <si>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</si>
  <si>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</si>
  <si>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</si>
  <si>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</si>
  <si>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</si>
  <si>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</si>
  <si>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</si>
  <si>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</si>
  <si>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</si>
  <si>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</si>
  <si>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</si>
  <si>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</si>
  <si>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</si>
  <si>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</si>
  <si>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</si>
  <si>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</si>
  <si>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</si>
  <si>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</si>
  <si>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</si>
  <si>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</si>
  <si>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</si>
  <si>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</si>
  <si>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</si>
  <si>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</si>
  <si>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</si>
  <si>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</si>
  <si>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</si>
  <si>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</si>
  <si>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</si>
  <si>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</si>
  <si>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</si>
  <si>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</si>
  <si>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</si>
  <si>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</si>
  <si>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</si>
  <si>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</si>
  <si>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</si>
  <si>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</si>
  <si>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</si>
  <si>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</si>
  <si>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</si>
  <si>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</si>
  <si>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</si>
  <si>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</si>
  <si>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</si>
  <si>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</si>
  <si>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</si>
  <si>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</si>
  <si>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</si>
  <si>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</si>
  <si>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</si>
  <si>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</si>
  <si>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</si>
  <si>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</si>
  <si>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</si>
  <si>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</si>
  <si>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</si>
  <si>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</si>
  <si>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</si>
  <si>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</si>
  <si>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</si>
  <si>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</si>
  <si>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</si>
  <si>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</si>
  <si>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</si>
  <si>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</si>
  <si>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</si>
  <si>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</si>
  <si>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</si>
  <si>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</si>
  <si>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</si>
  <si>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</si>
  <si>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</si>
  <si>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</si>
  <si>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</si>
  <si>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</si>
  <si>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</si>
  <si>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</si>
  <si>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</si>
  <si>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</si>
  <si>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</si>
  <si>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</si>
  <si>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</si>
  <si>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</si>
  <si>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</si>
  <si>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</si>
  <si>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</si>
  <si>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</si>
  <si>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</si>
  <si>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</si>
  <si>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</si>
  <si>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</si>
  <si>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</si>
  <si>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</si>
  <si>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</si>
  <si>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</si>
  <si>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</si>
  <si>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</si>
  <si>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</si>
  <si>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</si>
  <si>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</si>
  <si>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</si>
  <si>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</si>
  <si>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</si>
  <si>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</si>
  <si>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</si>
  <si>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</si>
  <si>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</si>
  <si>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</si>
  <si>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</si>
  <si>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</si>
  <si>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</si>
  <si>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</si>
  <si>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</si>
  <si>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</si>
  <si>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</si>
  <si>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</si>
  <si>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</si>
  <si>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</si>
  <si>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</si>
  <si>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</si>
  <si>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</si>
  <si>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</si>
  <si>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</si>
  <si>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</si>
  <si>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</si>
  <si>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</si>
  <si>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</si>
  <si>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</si>
  <si>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</si>
  <si>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</si>
  <si>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</si>
  <si>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</si>
  <si>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</si>
  <si>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</si>
  <si>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</si>
  <si>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</si>
  <si>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</si>
  <si>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</si>
  <si>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</si>
  <si>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</si>
  <si>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</si>
  <si>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</si>
  <si>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</si>
  <si>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</si>
  <si>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</si>
  <si>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</si>
  <si>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</si>
  <si>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</si>
  <si>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</si>
  <si>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</si>
  <si>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</si>
  <si>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</si>
  <si>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</si>
  <si>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</si>
  <si>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</si>
  <si>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</si>
  <si>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</si>
  <si>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</si>
  <si>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</si>
  <si>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</si>
  <si>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</si>
  <si>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</si>
  <si>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</si>
  <si>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</si>
  <si>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</si>
  <si>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</si>
  <si>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</si>
  <si>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</si>
  <si>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</si>
  <si>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</si>
  <si>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</si>
  <si>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</si>
  <si>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</si>
  <si>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</si>
  <si>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</si>
  <si>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</si>
  <si>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</si>
  <si>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</si>
  <si>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</si>
  <si>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</si>
  <si>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</si>
  <si>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</si>
  <si>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</si>
  <si>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</si>
  <si>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</si>
  <si>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</si>
  <si>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</si>
  <si>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</si>
  <si>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</si>
  <si>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</si>
  <si>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</si>
  <si>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</si>
  <si>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</si>
  <si>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</si>
  <si>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</si>
  <si>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</si>
  <si>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</si>
  <si>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</si>
  <si>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</si>
  <si>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</si>
  <si>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</si>
  <si>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</si>
  <si>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</si>
  <si>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</si>
  <si>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</si>
  <si>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</si>
  <si>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</si>
  <si>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</si>
  <si>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</si>
  <si>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</si>
  <si>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</si>
  <si>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</si>
  <si>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</si>
  <si>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</si>
  <si>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</si>
  <si>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</si>
  <si>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</si>
  <si>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</si>
  <si>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</si>
  <si>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</si>
  <si>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</si>
  <si>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</si>
  <si>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</si>
  <si>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</si>
  <si>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</si>
  <si>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</si>
  <si>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</si>
  <si>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</si>
  <si>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</si>
  <si>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</si>
  <si>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</si>
  <si>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</si>
  <si>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</si>
  <si>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</si>
  <si>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</si>
  <si>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</si>
  <si>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</si>
  <si>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</si>
  <si>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</si>
  <si>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</si>
  <si>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</si>
  <si>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</si>
  <si>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</si>
  <si>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</si>
  <si>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</si>
  <si>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</si>
  <si>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</si>
  <si>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</si>
  <si>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</si>
  <si>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</si>
  <si>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</si>
  <si>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</si>
  <si>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</si>
  <si>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</si>
  <si>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</si>
  <si>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</si>
  <si>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</si>
  <si>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</si>
  <si>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</si>
  <si>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</si>
  <si>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</si>
  <si>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</si>
  <si>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</si>
  <si>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</si>
  <si>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</si>
  <si>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</si>
  <si>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</si>
  <si>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</si>
  <si>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</si>
  <si>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</si>
  <si>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</si>
  <si>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</si>
  <si>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</si>
  <si>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</si>
  <si>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</si>
  <si>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</si>
  <si>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</si>
  <si>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</si>
  <si>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</si>
  <si>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</si>
  <si>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</si>
  <si>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</si>
  <si>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</si>
  <si>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</si>
  <si>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</si>
  <si>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</si>
  <si>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</si>
  <si>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</si>
  <si>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</si>
  <si>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</si>
  <si>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</si>
  <si>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</si>
  <si>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</si>
  <si>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</si>
  <si>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</si>
  <si>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</si>
  <si>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</si>
  <si>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</si>
  <si>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</si>
  <si>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</si>
  <si>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</si>
  <si>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</si>
  <si>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</si>
  <si>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</si>
  <si>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</si>
  <si>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</si>
  <si>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</si>
  <si>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</si>
  <si>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</si>
  <si>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</si>
  <si>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</si>
  <si>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</si>
  <si>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</si>
  <si>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</si>
  <si>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</si>
  <si>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</si>
  <si>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</si>
  <si>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</si>
  <si>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</si>
  <si>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</si>
  <si>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</si>
  <si>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</si>
  <si>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</si>
  <si>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</si>
  <si>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</si>
  <si>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</si>
  <si>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</si>
  <si>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</si>
  <si>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</si>
  <si>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</si>
  <si>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</si>
  <si>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</si>
  <si>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</si>
  <si>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</si>
  <si>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</si>
  <si>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</si>
  <si>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</si>
  <si>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</si>
  <si>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</si>
  <si>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</si>
  <si>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</si>
  <si>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</si>
  <si>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</si>
  <si>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</si>
  <si>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</si>
  <si>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</si>
  <si>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</si>
  <si>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</si>
  <si>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</si>
  <si>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</si>
  <si>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</si>
  <si>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</si>
  <si>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</si>
  <si>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</si>
  <si>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</si>
  <si>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</si>
  <si>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</si>
  <si>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</si>
  <si>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</si>
  <si>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</si>
  <si>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</si>
  <si>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</si>
  <si>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</si>
  <si>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</si>
  <si>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</si>
  <si>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</si>
  <si>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</si>
  <si>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</si>
  <si>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</si>
  <si>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</si>
  <si>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</si>
  <si>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</si>
  <si>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</si>
  <si>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</si>
  <si>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</si>
  <si>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</si>
  <si>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</si>
  <si>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</si>
  <si>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</si>
  <si>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</si>
  <si>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</si>
  <si>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</si>
  <si>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</si>
  <si>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</si>
  <si>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</si>
  <si>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</si>
  <si>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</si>
  <si>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</si>
  <si>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</si>
  <si>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</si>
  <si>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</si>
  <si>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</si>
  <si>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</si>
  <si>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</si>
  <si>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</si>
  <si>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</si>
  <si>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</si>
  <si>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</si>
  <si>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</si>
  <si>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</si>
  <si>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</si>
  <si>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</si>
  <si>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</si>
  <si>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</si>
  <si>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</si>
  <si>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</si>
  <si>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</si>
  <si>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</si>
  <si>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</si>
  <si>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</si>
  <si>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</si>
  <si>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</si>
  <si>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</si>
  <si>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</si>
  <si>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</si>
  <si>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</si>
  <si>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</si>
  <si>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</si>
  <si>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</si>
  <si>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</si>
  <si>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</si>
  <si>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</si>
  <si>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</si>
  <si>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</si>
  <si>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</si>
  <si>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</si>
  <si>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</si>
  <si>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</si>
  <si>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</si>
  <si>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</si>
  <si>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</si>
  <si>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</si>
  <si>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</si>
  <si>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</si>
  <si>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</si>
  <si>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</si>
  <si>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</si>
  <si>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</si>
  <si>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</si>
  <si>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</si>
  <si>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</si>
  <si>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</si>
  <si>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</si>
  <si>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</si>
  <si>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</si>
  <si>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</si>
  <si>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</si>
  <si>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</si>
  <si>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</si>
  <si>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</si>
  <si>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</si>
  <si>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</si>
  <si>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</si>
  <si>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</si>
  <si>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</si>
  <si>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</si>
  <si>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</si>
  <si>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</si>
  <si>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</si>
  <si>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</si>
  <si>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</si>
  <si>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</si>
  <si>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</si>
  <si>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</si>
  <si>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</si>
  <si>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</si>
  <si>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</si>
  <si>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</si>
  <si>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</si>
  <si>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</si>
  <si>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</si>
  <si>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</si>
  <si>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</si>
  <si>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</si>
  <si>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</si>
  <si>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</si>
  <si>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</si>
  <si>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</si>
  <si>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</si>
  <si>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</si>
  <si>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</si>
  <si>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</si>
  <si>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</si>
  <si>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</si>
  <si>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</si>
  <si>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</si>
  <si>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</si>
  <si>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</si>
  <si>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</si>
  <si>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</si>
  <si>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</si>
  <si>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</si>
  <si>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</si>
  <si>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</si>
  <si>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</si>
  <si>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</si>
  <si>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</si>
  <si>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</si>
  <si>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</si>
  <si>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</si>
  <si>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</si>
  <si>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</si>
  <si>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</si>
  <si>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</si>
  <si>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</si>
  <si>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</si>
  <si>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</si>
  <si>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</si>
  <si>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</si>
  <si>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</si>
  <si>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</si>
  <si>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</si>
  <si>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</si>
  <si>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</si>
  <si>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</si>
  <si>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</si>
  <si>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</si>
  <si>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</si>
  <si>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</si>
  <si>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</si>
  <si>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</si>
  <si>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</si>
  <si>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</si>
  <si>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</si>
  <si>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</si>
  <si>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</si>
  <si>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</si>
  <si>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</si>
  <si>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</si>
  <si>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</si>
  <si>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</si>
  <si>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</si>
  <si>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</si>
  <si>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</si>
  <si>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</si>
  <si>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</si>
  <si>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</si>
  <si>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</si>
  <si>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</si>
  <si>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</si>
  <si>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</si>
  <si>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</si>
  <si>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</si>
  <si>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</si>
  <si>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</si>
  <si>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</si>
  <si>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</si>
  <si>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</si>
  <si>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</si>
  <si>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</si>
  <si>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</si>
  <si>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</si>
  <si>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</si>
  <si>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</si>
  <si>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</si>
  <si>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</si>
  <si>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</si>
  <si>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</si>
  <si>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</si>
  <si>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</si>
  <si>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</si>
  <si>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</si>
  <si>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</si>
  <si>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</si>
  <si>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</si>
  <si>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</si>
  <si>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</si>
  <si>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</si>
  <si>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</si>
  <si>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</si>
  <si>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</si>
  <si>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</si>
  <si>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</si>
  <si>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</si>
  <si>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</si>
  <si>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</si>
  <si>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</si>
  <si>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</si>
  <si>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</si>
  <si>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</si>
  <si>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</si>
  <si>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</si>
  <si>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</si>
  <si>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</si>
  <si>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</si>
  <si>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</si>
  <si>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</si>
  <si>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</si>
  <si>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</si>
  <si>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</si>
  <si>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</si>
  <si>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</si>
  <si>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</si>
  <si>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</si>
  <si>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</si>
  <si>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</si>
  <si>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</si>
  <si>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</si>
  <si>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</si>
  <si>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</si>
  <si>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</si>
  <si>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</si>
  <si>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</si>
  <si>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</si>
  <si>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</si>
  <si>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</si>
  <si>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</si>
  <si>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</si>
  <si>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</si>
  <si>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</si>
  <si>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</si>
  <si>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</si>
  <si>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</si>
  <si>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</si>
  <si>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</si>
  <si>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</si>
  <si>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</si>
  <si>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</si>
  <si>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</si>
  <si>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</si>
  <si>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</si>
  <si>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</si>
  <si>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</si>
  <si>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</si>
  <si>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</si>
  <si>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</si>
  <si>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</si>
  <si>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</si>
  <si>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</si>
  <si>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</si>
  <si>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</si>
  <si>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</si>
  <si>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</si>
  <si>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</si>
  <si>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</si>
  <si>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</si>
  <si>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</si>
  <si>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</si>
  <si>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</si>
  <si>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</si>
  <si>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</si>
  <si>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</si>
  <si>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</si>
  <si>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</si>
  <si>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</si>
  <si>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</si>
  <si>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</si>
  <si>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</si>
  <si>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</si>
  <si>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</si>
  <si>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</si>
  <si>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</si>
  <si>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</si>
  <si>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</si>
  <si>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</si>
  <si>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</si>
  <si>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</si>
  <si>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</si>
  <si>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</si>
  <si>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</si>
  <si>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</si>
  <si>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</si>
  <si>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</si>
  <si>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</si>
  <si>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</si>
  <si>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</si>
  <si>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</si>
  <si>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</si>
  <si>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</si>
  <si>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</si>
  <si>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</si>
  <si>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</si>
  <si>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</si>
  <si>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</si>
  <si>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</si>
  <si>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</si>
  <si>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</si>
  <si>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</si>
  <si>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</si>
  <si>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</si>
  <si>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</si>
  <si>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</si>
  <si>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</si>
  <si>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</si>
  <si>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</si>
  <si>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</si>
  <si>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</si>
  <si>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</si>
  <si>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</si>
  <si>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</si>
  <si>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</si>
  <si>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</si>
  <si>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</si>
  <si>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</si>
  <si>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</si>
  <si>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</si>
  <si>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</si>
  <si>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</si>
  <si>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</si>
  <si>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</si>
  <si>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</si>
  <si>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</si>
  <si>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</si>
  <si>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</si>
  <si>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</si>
  <si>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</si>
  <si>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</si>
  <si>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</si>
  <si>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</si>
  <si>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</si>
  <si>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</si>
  <si>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</si>
  <si>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</si>
  <si>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</si>
  <si>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</si>
  <si>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</si>
  <si>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</si>
  <si>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</si>
  <si>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</si>
  <si>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</si>
  <si>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</si>
  <si>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</si>
  <si>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</si>
  <si>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</si>
  <si>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</si>
  <si>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</si>
  <si>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</si>
  <si>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</si>
  <si>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</si>
  <si>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</si>
  <si>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</si>
  <si>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</si>
  <si>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</si>
  <si>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</si>
  <si>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</si>
  <si>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</si>
  <si>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</si>
  <si>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</si>
  <si>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</si>
  <si>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</si>
  <si>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</si>
  <si>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</si>
  <si>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</si>
  <si>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</si>
  <si>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</si>
  <si>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</si>
  <si>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</si>
  <si>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</si>
  <si>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</si>
  <si>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</si>
  <si>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</si>
  <si>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</si>
  <si>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</si>
  <si>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</si>
  <si>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</si>
  <si>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</si>
  <si>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</si>
  <si>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</si>
  <si>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</si>
  <si>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</si>
  <si>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</si>
  <si>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</si>
  <si>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</si>
  <si>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</si>
  <si>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</si>
  <si>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</si>
  <si>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</si>
  <si>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</si>
  <si>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</si>
  <si>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</si>
  <si>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</si>
  <si>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</si>
  <si>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</si>
  <si>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</si>
  <si>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</si>
  <si>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</si>
  <si>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</si>
  <si>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</si>
  <si>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</si>
  <si>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</si>
  <si>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</si>
  <si>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</si>
  <si>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</si>
  <si>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</si>
  <si>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</si>
  <si>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</si>
  <si>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</si>
  <si>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</si>
  <si>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</si>
  <si>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</si>
  <si>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</si>
  <si>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</si>
  <si>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</si>
  <si>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</si>
  <si>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</si>
  <si>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</si>
  <si>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</si>
  <si>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</si>
  <si>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</si>
  <si>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</si>
  <si>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</si>
  <si>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</si>
  <si>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</si>
  <si>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</si>
  <si>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</si>
  <si>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</si>
  <si>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</si>
  <si>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</si>
  <si>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</si>
  <si>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</si>
  <si>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</si>
  <si>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</si>
  <si>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</si>
  <si>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</si>
  <si>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</si>
  <si>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</si>
  <si>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</si>
  <si>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</si>
  <si>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</si>
  <si>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</si>
  <si>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</si>
  <si>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</si>
  <si>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</si>
  <si>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</si>
  <si>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</si>
  <si>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</si>
  <si>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</si>
  <si>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</si>
  <si>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</si>
  <si>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</si>
  <si>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</si>
  <si>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</si>
  <si>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</si>
  <si>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</si>
  <si>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</si>
  <si>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</si>
  <si>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</si>
  <si>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</si>
  <si>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</si>
  <si>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</si>
  <si>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</si>
  <si>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</si>
  <si>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</si>
  <si>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</si>
  <si>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</si>
  <si>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</si>
  <si>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</si>
  <si>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</si>
  <si>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</si>
  <si>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</si>
  <si>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</si>
  <si>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</si>
  <si>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</si>
  <si>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</si>
  <si>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</si>
  <si>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</si>
  <si>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</si>
  <si>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</si>
  <si>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</si>
  <si>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</si>
  <si>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</si>
  <si>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</si>
  <si>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</si>
  <si>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</si>
  <si>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</si>
  <si>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</si>
  <si>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</si>
  <si>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</si>
  <si>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</si>
  <si>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</si>
  <si>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</si>
  <si>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</si>
  <si>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</si>
  <si>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</si>
  <si>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</si>
  <si>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</si>
  <si>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</si>
  <si>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</si>
  <si>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</si>
  <si>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</si>
  <si>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</si>
  <si>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</si>
  <si>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</si>
  <si>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</si>
  <si>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</si>
  <si>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</si>
  <si>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</si>
  <si>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</si>
  <si>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</si>
  <si>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</si>
  <si>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</si>
  <si>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</si>
  <si>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</si>
  <si>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</si>
  <si>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</si>
  <si>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</si>
  <si>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</si>
  <si>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</si>
  <si>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</si>
  <si>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</si>
  <si>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</si>
  <si>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</si>
  <si>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</si>
  <si>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</si>
  <si>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</si>
  <si>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</si>
  <si>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</si>
  <si>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</si>
  <si>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</si>
  <si>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</si>
  <si>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</si>
  <si>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</si>
  <si>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</si>
  <si>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</si>
  <si>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</si>
  <si>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</si>
  <si>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</si>
  <si>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</si>
  <si>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</si>
  <si>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</si>
  <si>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</si>
  <si>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</si>
  <si>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</si>
  <si>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</si>
  <si>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</si>
  <si>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</si>
  <si>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</si>
  <si>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</si>
  <si>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</si>
  <si>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</si>
  <si>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</si>
  <si>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</si>
  <si>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</si>
  <si>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</si>
  <si>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</si>
  <si>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</si>
  <si>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</si>
  <si>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</si>
  <si>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</si>
  <si>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</si>
  <si>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</si>
  <si>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</si>
  <si>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</si>
  <si>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</si>
  <si>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</si>
  <si>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</si>
  <si>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</si>
  <si>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</si>
  <si>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</si>
  <si>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</si>
  <si>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</si>
  <si>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</si>
  <si>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</si>
  <si>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</si>
  <si>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</si>
  <si>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</si>
  <si>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</si>
  <si>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</si>
  <si>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</si>
  <si>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</si>
  <si>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</si>
  <si>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</si>
  <si>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</si>
  <si>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</si>
  <si>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</si>
  <si>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</si>
  <si>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</si>
  <si>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</si>
  <si>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</si>
  <si>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</si>
  <si>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</si>
  <si>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</si>
  <si>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</si>
  <si>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</si>
  <si>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</si>
  <si>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</si>
  <si>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</si>
  <si>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</si>
  <si>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</si>
  <si>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</si>
  <si>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</si>
  <si>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</si>
  <si>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</si>
  <si>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</si>
  <si>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</si>
  <si>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</si>
  <si>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</si>
  <si>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</si>
  <si>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</si>
  <si>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</si>
  <si>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</si>
  <si>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</si>
  <si>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</si>
  <si>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</si>
  <si>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</si>
  <si>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</si>
  <si>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</si>
  <si>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</si>
  <si>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</si>
  <si>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</si>
  <si>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</si>
  <si>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</si>
  <si>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</si>
  <si>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</si>
  <si>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</si>
  <si>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</si>
  <si>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</si>
  <si>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</si>
  <si>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</si>
  <si>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</si>
  <si>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</si>
  <si>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</si>
  <si>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</si>
  <si>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</si>
  <si>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</si>
  <si>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</si>
  <si>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</si>
  <si>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</si>
  <si>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</si>
  <si>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</si>
  <si>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</si>
  <si>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</si>
  <si>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</si>
  <si>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</si>
  <si>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</si>
  <si>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</si>
  <si>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</si>
  <si>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</si>
  <si>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</si>
  <si>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</si>
  <si>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</si>
  <si>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</si>
  <si>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</si>
  <si>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</si>
  <si>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</si>
  <si>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</si>
  <si>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</si>
  <si>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</si>
  <si>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</si>
  <si>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</si>
  <si>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</si>
  <si>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</si>
  <si>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</si>
  <si>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</si>
  <si>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</si>
  <si>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</si>
  <si>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</si>
  <si>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</si>
  <si>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</si>
  <si>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</si>
  <si>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</si>
  <si>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</si>
  <si>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</si>
  <si>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</si>
  <si>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</si>
  <si>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</si>
  <si>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</si>
  <si>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</si>
  <si>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</si>
  <si>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</si>
  <si>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</si>
  <si>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</si>
  <si>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</si>
  <si>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</si>
  <si>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</si>
  <si>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</si>
  <si>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</si>
  <si>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</si>
  <si>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</si>
  <si>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</si>
  <si>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</si>
  <si>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</si>
  <si>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</si>
  <si>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</si>
  <si>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</si>
  <si>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</si>
  <si>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</si>
  <si>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</si>
  <si>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</si>
  <si>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</si>
  <si>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</si>
  <si>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</si>
  <si>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</si>
  <si>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</si>
  <si>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</si>
  <si>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</si>
  <si>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</si>
  <si>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</si>
  <si>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</si>
  <si>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</si>
  <si>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</si>
  <si>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</si>
  <si>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</si>
  <si>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</si>
  <si>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</si>
  <si>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</si>
  <si>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</si>
  <si>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</si>
  <si>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</si>
  <si>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</si>
  <si>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</si>
  <si>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</si>
  <si>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</si>
  <si>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</si>
  <si>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</si>
  <si>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</si>
  <si>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</si>
  <si>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</si>
  <si>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</si>
  <si>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</si>
  <si>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</si>
  <si>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</si>
  <si>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</si>
  <si>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</si>
  <si>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</si>
  <si>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</si>
  <si>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</si>
  <si>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</si>
  <si>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</si>
  <si>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</si>
  <si>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</si>
  <si>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</si>
  <si>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</si>
  <si>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</si>
  <si>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</si>
  <si>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</si>
  <si>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</si>
  <si>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</si>
  <si>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</si>
  <si>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</si>
  <si>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</si>
  <si>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</si>
  <si>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</si>
  <si>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</si>
  <si>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</si>
  <si>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</si>
  <si>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</si>
  <si>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</si>
  <si>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</si>
  <si>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</si>
  <si>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</si>
  <si>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</si>
  <si>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</si>
  <si>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</si>
  <si>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</si>
  <si>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</si>
  <si>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</si>
  <si>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</si>
  <si>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</si>
  <si>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</si>
  <si>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</si>
  <si>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</si>
  <si>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</si>
  <si>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</si>
  <si>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</si>
  <si>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</si>
  <si>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</si>
  <si>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</si>
  <si>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</si>
  <si>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</si>
  <si>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</si>
  <si>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</si>
  <si>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</si>
  <si>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</si>
  <si>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</si>
  <si>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</si>
  <si>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</si>
  <si>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</si>
  <si>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</si>
  <si>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</si>
  <si>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</si>
  <si>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</si>
  <si>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</si>
  <si>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</si>
  <si>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</si>
  <si>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</si>
  <si>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</si>
  <si>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</si>
  <si>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</si>
  <si>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</si>
  <si>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</si>
  <si>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</si>
  <si>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</si>
  <si>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</si>
  <si>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</si>
  <si>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</si>
  <si>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</si>
  <si>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</si>
  <si>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</si>
  <si>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</si>
  <si>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</si>
  <si>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</si>
  <si>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</si>
  <si>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</si>
  <si>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</si>
  <si>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</si>
  <si>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</si>
  <si>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</si>
  <si>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</si>
  <si>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</si>
  <si>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</si>
  <si>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</si>
  <si>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</si>
  <si>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</si>
  <si>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</si>
  <si>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</si>
  <si>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</si>
  <si>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</si>
  <si>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</si>
  <si>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</si>
  <si>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</si>
  <si>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</si>
  <si>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</si>
  <si>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</si>
  <si>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</si>
  <si>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</si>
  <si>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</si>
  <si>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</si>
  <si>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</si>
  <si>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</si>
  <si>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</si>
  <si>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</si>
  <si>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</si>
  <si>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</si>
  <si>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</si>
  <si>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</si>
  <si>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</si>
  <si>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</si>
  <si>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</si>
  <si>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</si>
  <si>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</si>
  <si>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</si>
  <si>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</si>
  <si>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</si>
  <si>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</si>
  <si>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</si>
  <si>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</si>
  <si>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</si>
  <si>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</si>
  <si>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</si>
  <si>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</si>
  <si>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</si>
  <si>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</si>
  <si>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</si>
  <si>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</si>
  <si>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</si>
  <si>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</si>
  <si>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</si>
  <si>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</si>
  <si>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</si>
  <si>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</si>
  <si>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</si>
  <si>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</si>
  <si>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</si>
  <si>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</si>
  <si>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</si>
  <si>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</si>
  <si>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</si>
  <si>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</si>
  <si>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</si>
  <si>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</si>
  <si>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</si>
  <si>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</si>
  <si>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</si>
  <si>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</si>
  <si>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</si>
  <si>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</si>
  <si>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</si>
  <si>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</si>
  <si>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</si>
  <si>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</si>
  <si>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</si>
  <si>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</si>
  <si>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</si>
  <si>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</si>
  <si>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</si>
  <si>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</si>
  <si>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</si>
  <si>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</si>
  <si>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</si>
  <si>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</si>
  <si>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</si>
  <si>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</si>
  <si>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</si>
  <si>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</si>
  <si>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</si>
  <si>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</si>
  <si>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</si>
  <si>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</si>
  <si>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</si>
  <si>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</si>
  <si>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</si>
  <si>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</si>
  <si>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</si>
  <si>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</si>
  <si>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</si>
  <si>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</si>
  <si>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</si>
  <si>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</si>
  <si>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</si>
  <si>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</si>
  <si>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</si>
  <si>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</si>
  <si>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</si>
  <si>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</si>
  <si>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</si>
  <si>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</si>
  <si>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</si>
  <si>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</si>
  <si>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</si>
  <si>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</si>
  <si>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</si>
  <si>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</si>
  <si>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</si>
  <si>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</si>
  <si>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</si>
  <si>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</si>
  <si>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</si>
  <si>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</si>
  <si>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</si>
  <si>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</si>
  <si>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</si>
  <si>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</si>
  <si>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</si>
  <si>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</si>
  <si>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</si>
  <si>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</si>
  <si>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</si>
  <si>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</si>
  <si>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</si>
  <si>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</si>
  <si>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</si>
  <si>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</si>
  <si>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</si>
  <si>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</si>
  <si>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</si>
  <si>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</si>
  <si>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</si>
  <si>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</si>
  <si>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</si>
  <si>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</si>
  <si>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</si>
  <si>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</si>
  <si>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</si>
  <si>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</si>
  <si>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</si>
  <si>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</si>
  <si>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</si>
  <si>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</si>
  <si>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</si>
  <si>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</si>
  <si>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</si>
  <si>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</si>
  <si>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</si>
  <si>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</si>
  <si>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</si>
  <si>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</si>
  <si>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</si>
  <si>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</si>
  <si>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</si>
  <si>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</si>
  <si>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</si>
  <si>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</si>
  <si>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</si>
  <si>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</si>
  <si>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</si>
  <si>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</si>
  <si>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</si>
  <si>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</si>
  <si>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</si>
  <si>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</si>
  <si>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</si>
  <si>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</si>
  <si>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</si>
  <si>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</si>
  <si>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</si>
  <si>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</si>
  <si>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</si>
  <si>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</si>
  <si>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</si>
  <si>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</si>
  <si>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</si>
  <si>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</si>
  <si>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</si>
  <si>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</si>
  <si>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</si>
  <si>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</si>
  <si>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</si>
  <si>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</si>
  <si>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</si>
  <si>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</si>
  <si>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</si>
  <si>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</si>
  <si>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</si>
  <si>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</si>
  <si>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</si>
  <si>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</si>
  <si>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</si>
  <si>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</si>
  <si>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</si>
  <si>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</si>
  <si>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</si>
  <si>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</si>
  <si>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</si>
  <si>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</si>
  <si>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</si>
  <si>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</si>
  <si>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</si>
  <si>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</si>
  <si>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</si>
  <si>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</si>
  <si>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</si>
  <si>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</si>
  <si>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</si>
  <si>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</si>
  <si>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</si>
  <si>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</si>
  <si>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</si>
  <si>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</si>
  <si>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</si>
  <si>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</si>
  <si>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</si>
  <si>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</si>
  <si>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</si>
  <si>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</si>
  <si>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</si>
  <si>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</si>
  <si>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</si>
  <si>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</si>
  <si>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</si>
  <si>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</si>
  <si>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</si>
  <si>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</si>
  <si>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</si>
  <si>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</si>
  <si>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</si>
  <si>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</si>
  <si>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</si>
  <si>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</si>
  <si>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</si>
  <si>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</si>
  <si>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</si>
  <si>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</si>
  <si>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</si>
  <si>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</si>
  <si>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</si>
  <si>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</si>
  <si>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</si>
  <si>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</si>
  <si>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</si>
  <si>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</si>
  <si>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</si>
  <si>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</si>
  <si>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</si>
  <si>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</si>
  <si>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</si>
  <si>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</si>
  <si>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</si>
  <si>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</si>
  <si>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</si>
  <si>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</si>
  <si>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</si>
  <si>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</si>
  <si>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</si>
  <si>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</si>
  <si>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</si>
  <si>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</si>
  <si>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</si>
  <si>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</si>
  <si>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</si>
  <si>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</si>
  <si>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</si>
  <si>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</si>
  <si>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</si>
  <si>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</si>
  <si>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</si>
  <si>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</si>
  <si>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</si>
  <si>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</si>
  <si>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</si>
  <si>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</si>
  <si>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</si>
  <si>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</si>
  <si>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</si>
  <si>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</si>
  <si>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</si>
  <si>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</si>
  <si>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</si>
  <si>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</si>
  <si>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</si>
  <si>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</si>
  <si>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</si>
  <si>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</si>
  <si>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</si>
  <si>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</si>
  <si>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</si>
  <si>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</si>
  <si>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</si>
  <si>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</si>
  <si>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</si>
  <si>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</si>
  <si>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</si>
  <si>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</si>
  <si>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</si>
  <si>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</si>
  <si>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</si>
  <si>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</si>
  <si>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</si>
  <si>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</si>
  <si>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</si>
  <si>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</si>
  <si>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</si>
  <si>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</si>
  <si>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</si>
  <si>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</si>
  <si>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</si>
  <si>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</si>
  <si>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</si>
  <si>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</si>
  <si>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</si>
  <si>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</si>
  <si>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</si>
  <si>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</si>
  <si>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</si>
  <si>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</si>
  <si>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</si>
  <si>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</si>
  <si>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</si>
  <si>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</si>
  <si>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</si>
  <si>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</si>
  <si>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</si>
  <si>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</si>
  <si>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</si>
  <si>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</si>
  <si>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</si>
  <si>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</si>
  <si>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</si>
  <si>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</si>
  <si>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</si>
  <si>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</si>
  <si>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</si>
  <si>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</si>
  <si>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</si>
  <si>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</si>
  <si>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</si>
  <si>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</si>
  <si>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</si>
  <si>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</si>
  <si>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</si>
  <si>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</si>
  <si>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</si>
  <si>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</si>
  <si>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</si>
  <si>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</si>
  <si>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</si>
  <si>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</si>
  <si>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</si>
  <si>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</si>
  <si>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</si>
  <si>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</si>
  <si>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</si>
  <si>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</si>
  <si>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</si>
  <si>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</si>
  <si>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</si>
  <si>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</si>
  <si>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</si>
  <si>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</si>
  <si>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</si>
  <si>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</si>
  <si>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</si>
  <si>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</si>
  <si>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</si>
  <si>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</si>
  <si>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</si>
  <si>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</si>
  <si>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</si>
  <si>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</si>
  <si>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</si>
  <si>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</si>
  <si>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</si>
  <si>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</si>
  <si>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</si>
  <si>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</si>
  <si>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</si>
  <si>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</si>
  <si>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</si>
  <si>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</si>
  <si>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</si>
  <si>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</si>
  <si>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</si>
  <si>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</si>
  <si>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</si>
  <si>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</si>
  <si>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</si>
  <si>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</si>
  <si>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</si>
  <si>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</si>
  <si>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</si>
  <si>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</si>
  <si>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</si>
  <si>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</si>
  <si>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</si>
  <si>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</si>
  <si>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</si>
  <si>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</si>
  <si>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</si>
  <si>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</si>
  <si>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</si>
  <si>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</si>
  <si>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</si>
  <si>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</si>
  <si>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</si>
  <si>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</si>
  <si>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</si>
  <si>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</si>
  <si>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</si>
  <si>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</si>
  <si>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</si>
  <si>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</si>
  <si>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</si>
  <si>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</si>
  <si>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</si>
  <si>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</si>
  <si>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</si>
  <si>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</si>
  <si>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</si>
  <si>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</si>
  <si>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</si>
  <si>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</si>
  <si>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</si>
  <si>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</si>
  <si>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</si>
  <si>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</si>
  <si>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</si>
  <si>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</si>
  <si>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</si>
  <si>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</si>
  <si>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</si>
  <si>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</si>
  <si>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</si>
  <si>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</si>
  <si>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</si>
  <si>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</si>
  <si>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</si>
  <si>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</si>
  <si>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</si>
  <si>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</si>
  <si>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</si>
  <si>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</si>
  <si>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</si>
  <si>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</si>
  <si>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</si>
  <si>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</si>
  <si>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</si>
  <si>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</si>
  <si>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</si>
  <si>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</si>
  <si>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</si>
  <si>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</si>
  <si>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</si>
  <si>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</si>
  <si>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</si>
  <si>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</si>
  <si>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</si>
  <si>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</si>
  <si>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</si>
  <si>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</si>
  <si>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</si>
  <si>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</si>
  <si>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</si>
  <si>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</si>
  <si>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</si>
  <si>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</si>
  <si>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</si>
  <si>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</si>
  <si>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</si>
  <si>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</si>
  <si>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</si>
  <si>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</si>
  <si>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</si>
  <si>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</si>
  <si>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</si>
  <si>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</si>
  <si>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</si>
  <si>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</si>
  <si>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</si>
  <si>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</si>
  <si>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</si>
  <si>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</si>
  <si>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</si>
  <si>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</si>
  <si>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</si>
  <si>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</si>
  <si>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</si>
  <si>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</si>
  <si>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</si>
  <si>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</si>
  <si>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</si>
  <si>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</si>
  <si>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</si>
  <si>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</si>
  <si>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</si>
  <si>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</si>
  <si>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</si>
  <si>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</si>
  <si>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</si>
  <si>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</si>
  <si>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</si>
  <si>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</si>
  <si>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</si>
  <si>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</si>
  <si>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</si>
  <si>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</si>
  <si>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</si>
  <si>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</si>
  <si>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</si>
  <si>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</si>
  <si>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</si>
  <si>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</si>
  <si>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</si>
  <si>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</si>
  <si>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</si>
  <si>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</si>
  <si>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</si>
  <si>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</si>
  <si>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</si>
  <si>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</si>
  <si>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</si>
  <si>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</si>
  <si>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</si>
  <si>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</si>
  <si>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</si>
  <si>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</si>
  <si>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</si>
  <si>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</si>
  <si>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</si>
  <si>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</si>
  <si>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</si>
  <si>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</si>
  <si>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</si>
  <si>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</si>
  <si>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</si>
  <si>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</si>
  <si>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</si>
  <si>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</si>
  <si>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</si>
  <si>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</si>
  <si>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</si>
  <si>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</si>
  <si>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</si>
  <si>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</si>
  <si>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</si>
  <si>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</si>
  <si>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</si>
  <si>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</si>
  <si>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</si>
  <si>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</si>
  <si>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</si>
  <si>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</si>
  <si>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</si>
  <si>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</si>
  <si>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</si>
  <si>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</si>
  <si>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</si>
  <si>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</si>
  <si>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</si>
  <si>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</si>
  <si>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</si>
  <si>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</si>
  <si>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</si>
  <si>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</si>
  <si>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</si>
  <si>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</si>
  <si>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</si>
  <si>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</si>
  <si>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</si>
  <si>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</si>
  <si>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</si>
  <si>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</si>
  <si>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</si>
  <si>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</si>
  <si>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</si>
  <si>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</si>
  <si>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</si>
  <si>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</si>
  <si>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</si>
  <si>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</si>
  <si>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</si>
  <si>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</si>
  <si>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</si>
  <si>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</si>
  <si>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</si>
  <si>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</si>
  <si>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</si>
  <si>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</si>
  <si>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</si>
  <si>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</si>
  <si>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</si>
  <si>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</si>
  <si>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</si>
  <si>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</si>
  <si>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</si>
  <si>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</si>
  <si>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</si>
  <si>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</si>
  <si>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</si>
  <si>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</si>
  <si>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</si>
  <si>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</si>
  <si>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</si>
  <si>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</si>
  <si>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</si>
  <si>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</si>
  <si>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</si>
  <si>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</si>
  <si>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</si>
  <si>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</si>
  <si>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</si>
  <si>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</si>
  <si>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</si>
  <si>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</si>
  <si>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</si>
  <si>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</si>
  <si>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</si>
  <si>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</si>
  <si>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</si>
  <si>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</si>
  <si>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</si>
  <si>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</si>
  <si>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</si>
  <si>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</si>
  <si>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</si>
  <si>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</si>
  <si>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</si>
  <si>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</si>
  <si>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</si>
  <si>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</si>
  <si>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</si>
  <si>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</si>
  <si>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</si>
  <si>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</si>
  <si>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</si>
  <si>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</si>
  <si>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</si>
  <si>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</si>
  <si>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</si>
  <si>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</si>
  <si>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</si>
  <si>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</si>
  <si>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</si>
  <si>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</si>
  <si>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</si>
  <si>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</si>
  <si>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</si>
  <si>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</si>
  <si>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</si>
  <si>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</si>
  <si>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</si>
  <si>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</si>
  <si>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</si>
  <si>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</si>
  <si>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</si>
  <si>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</si>
  <si>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</si>
  <si>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</si>
  <si>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</si>
  <si>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</si>
  <si>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</si>
  <si>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</si>
  <si>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</si>
  <si>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</si>
  <si>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</si>
  <si>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</si>
  <si>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</si>
  <si>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</si>
  <si>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</si>
  <si>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</si>
  <si>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</si>
  <si>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</si>
  <si>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</si>
  <si>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</si>
  <si>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</si>
  <si>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</si>
  <si>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</si>
  <si>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</si>
  <si>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</si>
  <si>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</si>
  <si>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</si>
  <si>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</si>
  <si>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</si>
  <si>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</si>
  <si>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</si>
  <si>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</si>
  <si>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</si>
  <si>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</si>
  <si>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</si>
  <si>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</si>
  <si>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</si>
  <si>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</si>
  <si>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</si>
  <si>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</si>
  <si>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</si>
  <si>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</si>
  <si>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</si>
  <si>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</si>
  <si>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</si>
  <si>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</si>
  <si>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</si>
  <si>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</si>
  <si>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</si>
  <si>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</si>
  <si>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</si>
  <si>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</si>
  <si>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</si>
  <si>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</si>
  <si>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</si>
  <si>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</si>
  <si>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</si>
  <si>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</si>
  <si>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</si>
  <si>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</si>
  <si>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</si>
  <si>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</si>
  <si>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</si>
  <si>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</si>
  <si>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</si>
  <si>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</si>
  <si>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</si>
  <si>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</si>
  <si>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</si>
  <si>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</si>
  <si>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</si>
  <si>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</si>
  <si>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</si>
  <si>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</si>
  <si>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</si>
  <si>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</si>
  <si>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</si>
  <si>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</si>
  <si>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</si>
  <si>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</si>
  <si>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</si>
  <si>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</si>
  <si>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</si>
  <si>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</si>
  <si>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</si>
  <si>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</si>
  <si>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</si>
  <si>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</si>
  <si>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</si>
  <si>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</si>
  <si>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</si>
  <si>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</si>
  <si>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</si>
  <si>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</si>
  <si>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</si>
  <si>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</si>
  <si>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</si>
  <si>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</si>
  <si>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</si>
  <si>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</si>
  <si>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</si>
  <si>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</si>
  <si>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</si>
  <si>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</si>
  <si>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</si>
  <si>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</si>
  <si>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</si>
  <si>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</si>
  <si>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</si>
  <si>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</si>
  <si>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</si>
  <si>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</si>
  <si>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</si>
  <si>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</si>
  <si>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</si>
  <si>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</si>
  <si>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</si>
  <si>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</si>
  <si>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</si>
  <si>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</si>
  <si>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</si>
  <si>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</si>
  <si>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</si>
  <si>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</si>
  <si>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</si>
  <si>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</si>
  <si>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</si>
  <si>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</si>
  <si>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</si>
  <si>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</si>
  <si>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</si>
  <si>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</si>
  <si>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</si>
  <si>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</si>
  <si>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</si>
  <si>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</si>
  <si>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</si>
  <si>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</si>
  <si>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</si>
  <si>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</si>
  <si>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</si>
  <si>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</si>
  <si>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</si>
  <si>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</si>
  <si>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</si>
  <si>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</si>
  <si>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</si>
  <si>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</si>
  <si>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</si>
  <si>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</si>
  <si>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</si>
  <si>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</si>
  <si>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</si>
  <si>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</si>
  <si>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</si>
  <si>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</si>
  <si>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</si>
  <si>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</si>
  <si>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</si>
  <si>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</si>
  <si>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</si>
  <si>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</si>
  <si>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</si>
  <si>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</si>
  <si>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</si>
  <si>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</si>
  <si>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</si>
  <si>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</si>
  <si>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</si>
  <si>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</si>
  <si>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</si>
  <si>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</si>
  <si>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</si>
  <si>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</si>
  <si>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</si>
  <si>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</si>
  <si>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</si>
  <si>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</si>
  <si>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</si>
  <si>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</si>
  <si>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</si>
  <si>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</si>
  <si>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</si>
  <si>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</si>
  <si>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</si>
  <si>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</si>
  <si>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</si>
  <si>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</si>
  <si>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</si>
  <si>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</si>
  <si>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</si>
  <si>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</si>
  <si>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</si>
  <si>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</si>
  <si>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</si>
  <si>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</si>
  <si>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</si>
  <si>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</si>
  <si>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</si>
  <si>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</si>
  <si>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</si>
  <si>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</si>
  <si>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</si>
  <si>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</si>
  <si>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</si>
  <si>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</si>
  <si>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</si>
  <si>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</si>
  <si>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</si>
  <si>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</si>
  <si>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</si>
  <si>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</si>
  <si>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</si>
  <si>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</si>
  <si>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</si>
  <si>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</si>
  <si>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</si>
  <si>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</si>
  <si>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</si>
  <si>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</si>
  <si>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</si>
  <si>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</si>
  <si>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</si>
  <si>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</si>
  <si>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</si>
  <si>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</si>
  <si>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</si>
  <si>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</si>
  <si>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</si>
  <si>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</si>
  <si>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</si>
  <si>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</si>
  <si>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</si>
  <si>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</si>
  <si>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</si>
  <si>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</si>
  <si>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</si>
  <si>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</si>
  <si>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</si>
  <si>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</si>
  <si>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</si>
  <si>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</si>
  <si>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</si>
  <si>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</si>
  <si>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</si>
  <si>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</si>
  <si>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</si>
  <si>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</si>
  <si>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</si>
  <si>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</si>
  <si>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</si>
  <si>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</si>
  <si>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</si>
  <si>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</si>
  <si>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</si>
  <si>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</si>
  <si>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</si>
  <si>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</si>
  <si>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</si>
  <si>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</si>
  <si>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</si>
  <si>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</si>
  <si>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</si>
  <si>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</si>
  <si>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</si>
  <si>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</si>
  <si>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</si>
  <si>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</si>
  <si>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</si>
  <si>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</si>
  <si>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</si>
  <si>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</si>
  <si>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</si>
  <si>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</si>
  <si>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</si>
  <si>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</si>
  <si>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</si>
  <si>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</si>
  <si>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</si>
  <si>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</si>
  <si>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</si>
  <si>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</si>
  <si>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</si>
  <si>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</si>
  <si>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</si>
  <si>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</si>
  <si>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</si>
  <si>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</si>
  <si>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</si>
  <si>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</si>
  <si>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</si>
  <si>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</si>
  <si>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</si>
  <si>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</si>
  <si>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</si>
  <si>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</si>
  <si>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</si>
  <si>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</si>
  <si>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</si>
  <si>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</si>
  <si>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</si>
  <si>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</si>
  <si>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</si>
  <si>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</si>
  <si>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</si>
  <si>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</si>
  <si>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</si>
  <si>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</si>
  <si>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</si>
  <si>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</si>
  <si>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</si>
  <si>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</si>
  <si>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</si>
  <si>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</si>
  <si>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</si>
  <si>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</si>
  <si>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</si>
  <si>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</si>
  <si>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</si>
  <si>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</si>
  <si>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</si>
  <si>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</si>
  <si>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</si>
  <si>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</si>
  <si>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</si>
  <si>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</si>
  <si>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</si>
  <si>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</si>
  <si>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</si>
  <si>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</si>
  <si>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</si>
  <si>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</si>
  <si>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</si>
  <si>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</si>
  <si>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</si>
  <si>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</si>
  <si>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</si>
  <si>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</si>
  <si>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</si>
  <si>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</si>
  <si>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</si>
  <si>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</si>
  <si>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</si>
  <si>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</si>
  <si>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</si>
  <si>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</si>
  <si>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</si>
  <si>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</si>
  <si>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</si>
  <si>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</si>
  <si>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</si>
  <si>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</si>
  <si>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</si>
  <si>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</si>
  <si>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</si>
  <si>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</si>
  <si>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</si>
  <si>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</si>
  <si>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</si>
  <si>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</si>
  <si>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</si>
  <si>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</si>
  <si>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</si>
  <si>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</si>
  <si>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</si>
  <si>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</si>
  <si>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</si>
  <si>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</si>
  <si>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</si>
  <si>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</si>
  <si>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</si>
  <si>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</si>
  <si>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</si>
  <si>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</si>
  <si>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</si>
  <si>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</si>
  <si>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</si>
  <si>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</si>
  <si>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</si>
  <si>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</si>
  <si>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</si>
  <si>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</si>
  <si>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</si>
  <si>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</si>
  <si>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</si>
  <si>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</si>
  <si>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</si>
  <si>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</si>
  <si>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</si>
  <si>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</si>
  <si>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</si>
  <si>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</si>
  <si>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</si>
  <si>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</si>
  <si>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</si>
  <si>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</si>
  <si>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</si>
  <si>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</si>
  <si>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</si>
  <si>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</si>
  <si>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</si>
  <si>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</si>
  <si>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</si>
  <si>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</si>
  <si>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</si>
  <si>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</si>
  <si>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</si>
  <si>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</si>
  <si>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</si>
  <si>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</si>
  <si>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</si>
  <si>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</si>
  <si>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</si>
  <si>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</si>
  <si>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</si>
  <si>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</si>
  <si>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</si>
  <si>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</si>
  <si>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</si>
  <si>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</si>
  <si>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</si>
  <si>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</si>
  <si>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</si>
  <si>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</si>
  <si>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</si>
  <si>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</si>
  <si>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</si>
  <si>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</si>
  <si>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</si>
  <si>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</si>
  <si>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</si>
  <si>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</si>
  <si>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</si>
  <si>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</si>
  <si>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</si>
  <si>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</si>
  <si>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</si>
  <si>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</si>
  <si>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</si>
  <si>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</si>
  <si>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</si>
  <si>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</si>
  <si>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</si>
  <si>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</si>
  <si>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</si>
  <si>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</si>
  <si>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</si>
  <si>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</si>
  <si>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</si>
  <si>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</si>
  <si>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</si>
  <si>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</si>
  <si>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</si>
  <si>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</si>
  <si>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</si>
  <si>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</si>
  <si>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</si>
  <si>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</si>
  <si>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</si>
  <si>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</si>
  <si>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</si>
  <si>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</si>
  <si>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</si>
  <si>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</si>
  <si>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</si>
  <si>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</si>
  <si>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</si>
  <si>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</si>
  <si>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</si>
  <si>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</si>
  <si>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</si>
  <si>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</si>
  <si>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</si>
  <si>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</si>
  <si>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</si>
  <si>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</si>
  <si>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</si>
  <si>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</si>
  <si>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</si>
  <si>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</si>
  <si>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</si>
  <si>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</si>
  <si>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</si>
  <si>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</si>
  <si>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</si>
  <si>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</si>
  <si>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</si>
  <si>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</si>
  <si>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</si>
  <si>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</si>
  <si>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</si>
  <si>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</si>
  <si>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</si>
  <si>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</si>
  <si>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</si>
  <si>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</si>
  <si>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</si>
  <si>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</si>
  <si>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</si>
  <si>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</si>
  <si>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</si>
  <si>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</si>
  <si>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</si>
  <si>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</si>
  <si>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</si>
  <si>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</si>
  <si>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</si>
  <si>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</si>
  <si>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</si>
  <si>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</si>
  <si>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</si>
  <si>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</si>
  <si>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</si>
  <si>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</si>
  <si>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</si>
  <si>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</si>
  <si>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</si>
  <si>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</si>
  <si>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</si>
  <si>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</si>
  <si>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</si>
  <si>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</si>
  <si>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</si>
  <si>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</si>
  <si>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</si>
  <si>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</si>
  <si>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</si>
  <si>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</si>
  <si>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</si>
  <si>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</si>
  <si>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</si>
  <si>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</si>
  <si>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</si>
  <si>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</si>
  <si>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</si>
  <si>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</si>
  <si>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</si>
  <si>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</si>
  <si>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</si>
  <si>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</si>
  <si>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</si>
  <si>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</si>
  <si>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</si>
  <si>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</si>
  <si>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</si>
  <si>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</si>
  <si>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</si>
  <si>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</si>
  <si>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</si>
  <si>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</si>
  <si>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</si>
  <si>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</si>
  <si>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</si>
  <si>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</si>
  <si>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</si>
  <si>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</si>
  <si>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</si>
  <si>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</si>
  <si>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</si>
  <si>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</si>
  <si>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</si>
  <si>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</si>
  <si>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</si>
  <si>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</si>
  <si>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</si>
  <si>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</si>
  <si>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</si>
  <si>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</si>
  <si>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</si>
  <si>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</si>
  <si>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</si>
  <si>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</si>
  <si>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</si>
  <si>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</si>
  <si>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</si>
  <si>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</si>
  <si>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</si>
  <si>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</si>
  <si>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</si>
  <si>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</si>
  <si>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</si>
  <si>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</si>
  <si>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</si>
  <si>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</si>
  <si>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</si>
  <si>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</si>
  <si>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</si>
  <si>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</si>
  <si>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</si>
  <si>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</si>
  <si>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</si>
  <si>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</si>
  <si>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</si>
  <si>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</si>
  <si>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</si>
  <si>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</si>
  <si>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</si>
  <si>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</si>
  <si>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</si>
  <si>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</si>
  <si>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</si>
  <si>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</si>
  <si>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</si>
  <si>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</si>
  <si>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</si>
  <si>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</si>
  <si>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</si>
  <si>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</si>
  <si>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</si>
  <si>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</si>
  <si>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</si>
  <si>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</si>
  <si>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</si>
  <si>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</si>
  <si>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</si>
  <si>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</si>
  <si>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</si>
  <si>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</si>
  <si>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</si>
  <si>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</si>
  <si>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</si>
  <si>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</si>
  <si>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</si>
  <si>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</si>
  <si>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</si>
  <si>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</si>
  <si>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</si>
  <si>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</si>
  <si>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</si>
  <si>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</si>
  <si>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</si>
  <si>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</si>
  <si>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</si>
  <si>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</si>
  <si>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</si>
  <si>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</si>
  <si>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</si>
  <si>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</si>
  <si>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</si>
  <si>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</si>
  <si>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</si>
  <si>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</si>
  <si>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</si>
  <si>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</si>
  <si>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</si>
  <si>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</si>
  <si>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</si>
  <si>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</si>
  <si>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</si>
  <si>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</si>
  <si>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</si>
  <si>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</si>
  <si>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</si>
  <si>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</si>
  <si>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</si>
  <si>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</si>
  <si>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</si>
  <si>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</si>
  <si>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</si>
  <si>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</si>
  <si>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</si>
  <si>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</si>
  <si>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</si>
  <si>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</si>
  <si>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</si>
  <si>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</si>
  <si>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</si>
  <si>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</si>
  <si>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</si>
  <si>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</si>
  <si>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</si>
  <si>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</si>
  <si>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</si>
  <si>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</si>
  <si>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</si>
  <si>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</si>
  <si>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</si>
  <si>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</si>
  <si>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</si>
  <si>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</si>
  <si>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</si>
  <si>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</si>
  <si>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</si>
  <si>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</si>
  <si>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</si>
  <si>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</si>
  <si>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</si>
  <si>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</si>
  <si>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</si>
  <si>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</si>
  <si>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</si>
  <si>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</si>
  <si>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</si>
  <si>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</si>
  <si>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</si>
  <si>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</si>
  <si>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</si>
  <si>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</si>
  <si>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</si>
  <si>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</si>
  <si>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</si>
  <si>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</si>
  <si>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</si>
  <si>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</si>
  <si>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</si>
  <si>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</si>
  <si>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</si>
  <si>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</si>
  <si>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</si>
  <si>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</si>
  <si>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</si>
  <si>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</si>
  <si>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</si>
  <si>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</si>
  <si>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</si>
  <si>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</si>
  <si>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</si>
  <si>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</si>
  <si>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</si>
  <si>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</si>
  <si>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</si>
  <si>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</si>
  <si>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</si>
  <si>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</si>
  <si>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</si>
  <si>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</si>
  <si>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</si>
  <si>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</si>
  <si>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</si>
  <si>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</si>
  <si>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</si>
  <si>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</si>
  <si>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</si>
  <si>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</si>
  <si>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</si>
  <si>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</si>
  <si>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</si>
  <si>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</si>
  <si>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</si>
  <si>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</si>
  <si>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</si>
  <si>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</si>
  <si>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</si>
  <si>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</si>
  <si>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</si>
  <si>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</si>
  <si>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</si>
  <si>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</si>
  <si>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</si>
  <si>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</si>
  <si>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</si>
  <si>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</si>
  <si>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</si>
  <si>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</si>
  <si>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</si>
  <si>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</si>
  <si>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</si>
  <si>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</si>
  <si>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</si>
  <si>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</si>
  <si>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</si>
  <si>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</si>
  <si>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</si>
  <si>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</si>
  <si>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</si>
  <si>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</si>
  <si>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</si>
  <si>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</si>
  <si>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</si>
  <si>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</si>
  <si>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</si>
  <si>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</si>
  <si>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</si>
  <si>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</si>
  <si>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</si>
  <si>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</si>
  <si>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</si>
  <si>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</si>
  <si>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</si>
  <si>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</si>
  <si>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</si>
  <si>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</si>
  <si>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</si>
  <si>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</si>
  <si>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</si>
  <si>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</si>
  <si>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</si>
  <si>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</si>
  <si>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</si>
  <si>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</si>
  <si>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</si>
  <si>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</si>
  <si>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</si>
  <si>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</si>
  <si>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</si>
  <si>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</si>
  <si>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</si>
  <si>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</si>
  <si>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</si>
  <si>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</si>
  <si>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</si>
  <si>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</si>
  <si>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</si>
  <si>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</si>
  <si>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</si>
  <si>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</si>
  <si>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</si>
  <si>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</si>
  <si>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</si>
  <si>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</si>
  <si>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</si>
  <si>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</si>
  <si>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</si>
  <si>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</si>
  <si>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</si>
  <si>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</si>
  <si>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</si>
  <si>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</si>
  <si>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</si>
  <si>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</si>
  <si>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</si>
  <si>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</si>
  <si>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</si>
  <si>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</si>
  <si>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</si>
  <si>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</si>
  <si>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</si>
  <si>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</si>
  <si>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</si>
  <si>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</si>
  <si>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</si>
  <si>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</si>
  <si>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</si>
  <si>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</si>
  <si>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</si>
  <si>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</si>
  <si>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</si>
  <si>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</si>
  <si>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</si>
  <si>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</si>
  <si>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</si>
  <si>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</si>
  <si>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</si>
  <si>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</si>
  <si>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</si>
  <si>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</si>
  <si>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</si>
  <si>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</si>
  <si>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</si>
  <si>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</si>
  <si>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</si>
  <si>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</si>
  <si>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</si>
  <si>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</si>
  <si>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</si>
  <si>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</si>
  <si>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</si>
  <si>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</si>
  <si>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</si>
  <si>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</si>
  <si>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</si>
  <si>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</si>
  <si>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</si>
  <si>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</si>
  <si>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</si>
  <si>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</si>
  <si>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</si>
  <si>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</si>
  <si>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</si>
  <si>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</si>
  <si>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</si>
  <si>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</si>
  <si>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</si>
  <si>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</si>
  <si>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</si>
  <si>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</si>
  <si>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</si>
  <si>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</si>
  <si>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</si>
  <si>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</si>
  <si>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</si>
  <si>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</si>
  <si>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</si>
  <si>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</si>
  <si>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</si>
  <si>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</si>
  <si>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</si>
  <si>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</si>
  <si>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</si>
  <si>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</si>
  <si>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</si>
  <si>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</si>
  <si>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</si>
  <si>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</si>
  <si>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</si>
  <si>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</si>
  <si>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</si>
  <si>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</si>
  <si>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</si>
  <si>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</si>
  <si>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</si>
  <si>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</si>
  <si>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</si>
  <si>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</si>
  <si>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</si>
  <si>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</si>
  <si>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</si>
  <si>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</si>
  <si>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</si>
  <si>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</si>
  <si>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</si>
  <si>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</si>
  <si>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</si>
  <si>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</si>
  <si>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</si>
  <si>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</si>
  <si>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</si>
  <si>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</si>
  <si>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</si>
  <si>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</si>
  <si>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</si>
  <si>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</si>
  <si>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</si>
  <si>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</si>
  <si>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</si>
  <si>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</si>
  <si>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</si>
  <si>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</si>
  <si>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</si>
  <si>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</si>
  <si>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</si>
  <si>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</si>
  <si>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</si>
  <si>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</si>
  <si>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</si>
  <si>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</si>
  <si>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</si>
  <si>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</si>
  <si>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</si>
  <si>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</si>
  <si>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</si>
  <si>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</si>
  <si>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</si>
  <si>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</si>
  <si>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</si>
  <si>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</si>
  <si>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</si>
  <si>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</si>
  <si>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</si>
  <si>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</si>
  <si>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</si>
  <si>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</si>
  <si>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</si>
  <si>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</si>
  <si>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</si>
  <si>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</si>
  <si>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</si>
  <si>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</si>
  <si>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</si>
  <si>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</si>
  <si>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</si>
  <si>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</si>
  <si>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</si>
  <si>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</si>
  <si>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</si>
  <si>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</si>
  <si>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</si>
  <si>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</si>
  <si>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</si>
  <si>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</si>
  <si>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</si>
  <si>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</si>
  <si>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</si>
  <si>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</si>
  <si>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</si>
  <si>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</si>
  <si>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</si>
  <si>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</si>
  <si>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</si>
  <si>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</si>
  <si>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</si>
  <si>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</si>
  <si>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</si>
  <si>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</si>
  <si>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</si>
  <si>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</si>
  <si>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</si>
  <si>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</si>
  <si>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</si>
  <si>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</si>
  <si>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</si>
  <si>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</si>
  <si>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</si>
  <si>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</si>
  <si>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</si>
  <si>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</si>
  <si>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</si>
  <si>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</si>
  <si>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</si>
  <si>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</si>
  <si>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</si>
  <si>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</si>
  <si>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</si>
  <si>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</si>
  <si>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</si>
  <si>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</si>
  <si>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</si>
  <si>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</si>
  <si>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</si>
  <si>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</si>
  <si>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</si>
  <si>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</si>
  <si>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</si>
  <si>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</si>
  <si>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</si>
  <si>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</si>
  <si>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</si>
  <si>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</si>
  <si>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</si>
  <si>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</si>
  <si>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</si>
  <si>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</si>
  <si>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</si>
  <si>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</si>
  <si>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</si>
  <si>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</si>
  <si>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</si>
  <si>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</si>
  <si>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</si>
  <si>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415</t>
    </r>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</si>
  <si>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</si>
  <si>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</si>
  <si>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</si>
  <si>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</si>
  <si>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</si>
  <si>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</si>
  <si>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</si>
  <si>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</si>
  <si>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</si>
  <si>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</si>
  <si>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</si>
  <si>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</si>
  <si>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</si>
  <si>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</si>
  <si>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</si>
  <si>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</si>
  <si>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</si>
  <si>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</si>
  <si>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</si>
  <si>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</si>
  <si>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</si>
  <si>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</si>
  <si>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</si>
  <si>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</si>
  <si>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</si>
  <si>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</si>
  <si>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</si>
  <si>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</si>
  <si>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</si>
  <si>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</si>
  <si>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</si>
  <si>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</si>
  <si>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</si>
  <si>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</si>
  <si>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</si>
  <si>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</si>
  <si>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</si>
  <si>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</si>
  <si>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</si>
  <si>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钢混</t>
  </si>
  <si>
    <t>非生产用房</t>
  </si>
  <si>
    <t>否</t>
  </si>
  <si>
    <t>现房</t>
  </si>
  <si>
    <t>项目全部</t>
  </si>
  <si>
    <t>比较法-车位</t>
  </si>
  <si>
    <t>利息：取LPR加浮动点数</t>
  </si>
  <si>
    <t>自然环境：体育公园、金茂悦健身公园，绿化率较高
人文环境：无。
综上，环境状况较好。</t>
    <phoneticPr fontId="31"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</si>
  <si>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</si>
  <si>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</si>
  <si>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陈颖</t>
  </si>
  <si>
    <t>1:1.5</t>
    <phoneticPr fontId="3" type="noConversion"/>
  </si>
  <si>
    <t>远洋天著悦山</t>
    <phoneticPr fontId="3" type="noConversion"/>
  </si>
  <si>
    <t>收益比率</t>
  </si>
  <si>
    <t>楼面单价</t>
  </si>
  <si>
    <t>和成璟园</t>
    <phoneticPr fontId="3" type="noConversion"/>
  </si>
  <si>
    <t>中信新城</t>
    <phoneticPr fontId="3" type="noConversion"/>
  </si>
  <si>
    <t>中旅·亦府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</si>
</sst>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10" fontId="47"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北京市大兴区三羊南街10号院32幢-01层415房地产市场价值预评估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受贵公司委托，我公司对北京市大兴区三羊南街10号院32幢-01层415房地产市场价值进行了预评估。</v>
      </c>
    </row>
    <row r="7" spans="1:2" s="1203" customFormat="1">
      <c r="A7" s="1201" t="s">
        <v>566</v>
      </c>
      <c r="B7" s="1202" t="str">
        <f>'预评函-1'!A7</f>
        <v>估价对象为北京市大兴区三羊南街10号院32幢-01层415房地产，为所有。根据《国有土地使用证》[]，估价对象（分摊）出让国有建设用地使用权面积为0平方米，建筑面积为59.98平方米。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-01层415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v>
      </c>
    </row>
    <row r="21" spans="1:2" s="1203" customFormat="1">
      <c r="A21" s="1201" t="s">
        <v>537</v>
      </c>
      <c r="B21" s="1202">
        <f ca="1">'预评函-2'!D7</f>
        <v>3447</v>
      </c>
    </row>
    <row r="22" spans="1:2" s="1203" customFormat="1">
      <c r="A22" s="1201" t="s">
        <v>538</v>
      </c>
      <c r="B22" s="1202" t="str">
        <f ca="1">'预评函-2'!D6</f>
        <v>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v>
      </c>
    </row>
    <row r="31" spans="1:2" s="1203" customFormat="1">
      <c r="A31" s="1201" t="s">
        <v>576</v>
      </c>
      <c r="B31" s="1202">
        <f ca="1">'预评函-2'!D15</f>
        <v>3447</v>
      </c>
    </row>
    <row r="32" spans="1:2" s="1203" customFormat="1">
      <c r="A32" s="1201" t="s">
        <v>543</v>
      </c>
      <c r="B32" s="1202" t="str">
        <f ca="1">'预评函-2'!D14</f>
        <v>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北京市大兴区三羊南街10号院32幢-01层415房地产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v>
      </c>
    </row>
    <row r="48" spans="1:2" s="1203" customFormat="1">
      <c r="A48" s="1201" t="s">
        <v>549</v>
      </c>
      <c r="B48" s="1202">
        <f ca="1">'预评函-3'!E4</f>
        <v>-8883</v>
      </c>
    </row>
    <row r="49" spans="1:2" s="1203" customFormat="1">
      <c r="A49" s="1201" t="s">
        <v>550</v>
      </c>
      <c r="B49" s="1202" t="e">
        <f ca="1">'预评函-3'!D5</f>
        <v>#NUM!</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12330</v>
      </c>
    </row>
    <row r="53" spans="1:2" s="1203" customFormat="1">
      <c r="A53" s="1201" t="s">
        <v>580</v>
      </c>
      <c r="B53" s="1202" t="str">
        <f ca="1">'预评函-3'!F5</f>
        <v>柒拾肆万元整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-01层415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6" t="s">
        <v>2574</v>
      </c>
      <c r="J2" s="3506"/>
      <c r="K2" s="3506"/>
      <c r="L2" s="3506"/>
      <c r="M2" s="3506"/>
      <c r="N2" s="3506"/>
      <c r="O2" s="3506"/>
      <c r="P2" s="3506"/>
      <c r="Q2" s="3506"/>
      <c r="R2" s="3506"/>
    </row>
    <row r="3" spans="1:18">
      <c r="A3" s="3018" t="s">
        <v>2495</v>
      </c>
      <c r="B3" s="3019">
        <f>项目基本情况!D3</f>
        <v>45069</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北京市大兴区三羊南街10号院32幢-01层415房地产市场价值预评估</v>
      </c>
      <c r="C1" s="3516"/>
      <c r="D1" s="3516"/>
      <c r="E1" s="3516"/>
      <c r="F1" s="3516"/>
      <c r="G1" s="3516"/>
      <c r="H1" s="3516"/>
      <c r="I1" s="351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北京市大兴区三羊南街10号院32幢-01层415房地产市场价值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北京市大兴区三羊南街10号院32幢-01层415房地产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3424</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3369</v>
      </c>
      <c r="C8" s="2390"/>
      <c r="D8" s="3518" t="s">
        <v>2177</v>
      </c>
      <c r="E8" s="2391"/>
      <c r="F8" s="2392"/>
      <c r="G8" s="2661"/>
      <c r="H8" s="2661"/>
      <c r="I8" s="2661"/>
      <c r="J8" s="2439"/>
      <c r="K8" s="2612"/>
      <c r="L8" s="2611"/>
      <c r="M8" s="2611"/>
      <c r="N8" s="2439"/>
      <c r="O8" s="2450"/>
      <c r="P8" s="2439"/>
      <c r="Q8" s="2439"/>
      <c r="R8" s="2439"/>
    </row>
    <row r="9" spans="1:30" ht="13.5" thickBot="1">
      <c r="A9" s="2393" t="s">
        <v>2178</v>
      </c>
      <c r="B9" s="2394" t="s">
        <v>3370</v>
      </c>
      <c r="C9" s="2395"/>
      <c r="D9" s="3519"/>
      <c r="E9" s="2394" t="s">
        <v>43</v>
      </c>
      <c r="F9" s="2396"/>
      <c r="G9" s="2663"/>
      <c r="H9" s="2663"/>
      <c r="I9" s="2663"/>
      <c r="J9" s="2439"/>
      <c r="K9" s="2614"/>
      <c r="L9" s="2611"/>
      <c r="M9" s="2611"/>
      <c r="N9" s="2439"/>
      <c r="O9" s="2450"/>
      <c r="P9" s="2439"/>
      <c r="Q9" s="2439"/>
      <c r="R9" s="2439"/>
    </row>
    <row r="10" spans="1:30" ht="13.5" thickTop="1">
      <c r="A10" s="2397" t="s">
        <v>2179</v>
      </c>
      <c r="B10" s="2398" t="s">
        <v>3371</v>
      </c>
      <c r="C10" s="2399"/>
      <c r="D10" s="2382"/>
      <c r="E10" s="2400" t="s">
        <v>2180</v>
      </c>
      <c r="F10" s="2664" t="s">
        <v>3374</v>
      </c>
      <c r="G10" s="2665"/>
      <c r="H10" s="2666"/>
      <c r="I10" s="2667"/>
      <c r="J10" s="2439"/>
      <c r="K10" s="2614"/>
      <c r="L10" s="2611"/>
      <c r="M10" s="2611"/>
      <c r="N10" s="2439"/>
      <c r="O10" s="2450"/>
      <c r="P10" s="2439"/>
      <c r="Q10" s="2439"/>
      <c r="R10" s="2439"/>
    </row>
    <row r="11" spans="1:30">
      <c r="A11" s="2401" t="s">
        <v>2181</v>
      </c>
      <c r="B11" s="2402" t="s">
        <v>3375</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2570</v>
      </c>
      <c r="J12" s="3060"/>
      <c r="K12" s="2611"/>
      <c r="L12" s="2611"/>
      <c r="M12" s="2439"/>
      <c r="N12" s="2450"/>
      <c r="O12" s="2439"/>
      <c r="P12" s="2439"/>
      <c r="Q12" s="2439"/>
      <c r="AD12" s="1745"/>
    </row>
    <row r="13" spans="1:30">
      <c r="A13" s="3421" t="s">
        <v>3328</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5" t="s">
        <v>3373</v>
      </c>
      <c r="C16" s="3526"/>
      <c r="D16" s="3527"/>
      <c r="E16" s="2413" t="s">
        <v>2194</v>
      </c>
      <c r="F16" s="3528"/>
      <c r="G16" s="3529"/>
      <c r="H16" s="3529"/>
      <c r="I16" s="3530"/>
      <c r="J16" s="2439"/>
      <c r="K16" s="2615"/>
      <c r="L16" s="2451"/>
      <c r="M16" s="2451"/>
      <c r="N16" s="2507"/>
      <c r="O16" s="2451"/>
      <c r="P16" s="2507"/>
      <c r="Q16" s="2439"/>
      <c r="R16" s="2439"/>
    </row>
    <row r="17" spans="1:28">
      <c r="A17" s="313" t="s">
        <v>2195</v>
      </c>
      <c r="B17" s="302" t="s">
        <v>2196</v>
      </c>
      <c r="C17" s="8">
        <f>'数据-汇总表'!E3</f>
        <v>59.98</v>
      </c>
      <c r="D17" s="2322" t="s">
        <v>2197</v>
      </c>
      <c r="E17" s="3531" t="s">
        <v>2198</v>
      </c>
      <c r="F17" s="3532"/>
      <c r="G17" s="3532"/>
      <c r="H17" s="3532"/>
      <c r="I17" s="3533"/>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21" t="s">
        <v>2206</v>
      </c>
      <c r="C20" s="3522"/>
      <c r="D20" s="3523" t="s">
        <v>2207</v>
      </c>
      <c r="E20" s="3524"/>
      <c r="F20" s="2645" t="s">
        <v>1056</v>
      </c>
      <c r="G20" s="2662"/>
      <c r="H20" s="2662"/>
      <c r="I20" s="2662"/>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8"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8"/>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8"/>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9"/>
      <c r="B30" s="302" t="s">
        <v>2218</v>
      </c>
      <c r="C30" s="3510"/>
      <c r="D30" s="3511"/>
      <c r="E30" s="2662"/>
      <c r="F30" s="2662"/>
      <c r="G30" s="2662"/>
      <c r="H30" s="2662"/>
      <c r="I30" s="2662"/>
      <c r="J30" s="2439"/>
      <c r="K30" s="2614"/>
      <c r="L30" s="2611"/>
      <c r="M30" s="2611"/>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2573</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3329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7"/>
      <c r="G2" s="2648"/>
      <c r="H2" s="2649"/>
      <c r="I2" s="2325" t="s">
        <v>1132</v>
      </c>
      <c r="J2" s="2657"/>
      <c r="K2" s="2657"/>
      <c r="L2" s="2657"/>
      <c r="M2" s="2657"/>
      <c r="N2" s="2659"/>
      <c r="O2" s="2657"/>
      <c r="P2" s="2657"/>
    </row>
    <row r="3" spans="1:16" ht="15.75" thickBot="1">
      <c r="A3" s="3547" t="s">
        <v>1105</v>
      </c>
      <c r="B3" s="3547"/>
      <c r="C3" s="3547"/>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48"/>
      <c r="B4" s="3549"/>
      <c r="C4" s="3550"/>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1" t="s">
        <v>1111</v>
      </c>
      <c r="C6" s="3551"/>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3"/>
      <c r="B7" s="3544"/>
      <c r="C7" s="354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9"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3329</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3463">
        <v>3500</v>
      </c>
      <c r="M6" s="67">
        <f t="shared" ref="M6:M14" si="0">ROUND(K6*L6/10000,0)</f>
        <v>21</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3383</v>
      </c>
      <c r="AO6" s="52">
        <f ca="1">SUMIF(INDIRECT("'"&amp;AN6&amp;"'"&amp;"!A:A"),"总价",INDIRECT("'"&amp;AN6&amp;"'"&amp;"!B:B"))</f>
        <v>9.5157000000000007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3501</v>
      </c>
      <c r="M16" s="93">
        <f>SUM(M6:M14)</f>
        <v>21</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3381</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3382</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3420</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2" t="s">
        <v>2277</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3384</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3422</v>
      </c>
      <c r="D6" s="2464"/>
      <c r="E6" s="2468"/>
      <c r="F6" s="323" t="s">
        <v>2259</v>
      </c>
      <c r="G6" s="2469"/>
      <c r="H6" s="799"/>
      <c r="I6" s="799"/>
      <c r="J6" s="799"/>
      <c r="K6" s="799"/>
      <c r="L6" s="799"/>
      <c r="M6" s="799"/>
      <c r="N6" s="799"/>
      <c r="O6" s="799"/>
      <c r="P6" s="799"/>
      <c r="Q6" s="799"/>
      <c r="R6" s="799"/>
    </row>
    <row r="7" spans="1:29" ht="132.75" thickBot="1">
      <c r="A7" s="2442"/>
      <c r="B7" s="323" t="s">
        <v>2257</v>
      </c>
      <c r="C7" s="3449" t="s">
        <v>3423</v>
      </c>
      <c r="D7" s="2470"/>
      <c r="E7" s="2471"/>
      <c r="F7" s="2472" t="s">
        <v>2260</v>
      </c>
      <c r="G7" s="2473"/>
      <c r="H7" s="799"/>
      <c r="I7" s="799"/>
      <c r="J7" s="799"/>
      <c r="K7" s="799"/>
      <c r="L7" s="799"/>
      <c r="M7" s="799"/>
      <c r="N7" s="799"/>
      <c r="O7" s="799"/>
      <c r="P7" s="799"/>
      <c r="Q7" s="799"/>
      <c r="R7" s="799"/>
    </row>
    <row r="8" spans="1:29">
      <c r="A8" s="2442"/>
      <c r="B8" s="323" t="s">
        <v>2259</v>
      </c>
      <c r="C8" s="2469" t="s">
        <v>3368</v>
      </c>
      <c r="D8" s="2470"/>
      <c r="E8" s="2470"/>
      <c r="F8" s="2474"/>
      <c r="G8" s="2474"/>
      <c r="H8" s="799"/>
      <c r="I8" s="799"/>
      <c r="J8" s="799"/>
      <c r="K8" s="799"/>
      <c r="L8" s="799"/>
      <c r="M8" s="799"/>
      <c r="N8" s="799"/>
      <c r="O8" s="799"/>
      <c r="P8" s="799"/>
      <c r="Q8" s="799"/>
      <c r="R8" s="799"/>
    </row>
    <row r="9" spans="1:29" ht="48">
      <c r="A9" s="2442"/>
      <c r="B9" s="323" t="s">
        <v>2261</v>
      </c>
      <c r="C9" s="3450" t="s">
        <v>3401</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20.6751</v>
      </c>
      <c r="C5" s="2510">
        <f ca="1">IF(B5=D14,结果表!H102,ROUND(B5*10000/$B$1,0))</f>
        <v>3447</v>
      </c>
      <c r="D5" s="2510" t="e">
        <f ca="1">ROUND(B5*10000/$B$2,0)</f>
        <v>#DIV/0!</v>
      </c>
      <c r="E5" s="2684"/>
      <c r="F5" s="2685"/>
      <c r="G5" s="2685"/>
      <c r="H5" s="2686"/>
      <c r="I5" s="2686"/>
      <c r="J5" s="2686"/>
      <c r="K5" s="2686"/>
    </row>
    <row r="6" spans="1:11" ht="16.5">
      <c r="A6" s="2510" t="s">
        <v>656</v>
      </c>
      <c r="B6" s="2510">
        <f ca="1">SUM(G14:G23)</f>
        <v>20.6751</v>
      </c>
      <c r="C6" s="2510">
        <f ca="1">IF(B6=G14,结果表!H108,ROUND(B6*10000/$B$1,0))</f>
        <v>3447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ROUND(E14*B14/10000,4)</f>
        <v>20.6751</v>
      </c>
      <c r="E14" s="2516">
        <f ca="1">结果表!G20</f>
        <v>3447</v>
      </c>
      <c r="F14" s="2516" t="e">
        <f ca="1">ROUND(D14*10000/C14,0)</f>
        <v>#DIV/0!</v>
      </c>
      <c r="G14" s="2516">
        <f ca="1">D14</f>
        <v>20.6751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115" zoomScaleNormal="100" zoomScaleSheetLayoutView="115"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3378</v>
      </c>
      <c r="D1" s="1747"/>
      <c r="E1" s="1747"/>
      <c r="F1" s="1749" t="s">
        <v>1263</v>
      </c>
      <c r="G1" s="1561" t="s">
        <v>3417</v>
      </c>
      <c r="H1" s="1750" t="str">
        <f>IF(G1="现房","——","估价对象范围")</f>
        <v>——</v>
      </c>
      <c r="I1" s="1751" t="s">
        <v>3418</v>
      </c>
    </row>
    <row r="2" spans="1:12" ht="21.75" customHeight="1" thickBot="1">
      <c r="A2" s="3588" t="str">
        <f>项目基本情况!S2</f>
        <v>北京市大兴区三羊南街10号院32幢-01层415房地产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3419</v>
      </c>
      <c r="D4" s="1756" t="s">
        <v>3383</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8</v>
      </c>
      <c r="D14" s="3591">
        <v>2</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8" t="s">
        <v>2131</v>
      </c>
      <c r="F18" s="3579"/>
      <c r="G18" s="3579"/>
      <c r="H18" s="3579"/>
      <c r="I18" s="3579"/>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23.466000000000001</v>
      </c>
      <c r="D19" s="135">
        <f ca="1">SUMIF(INDIRECT("'"&amp;D4&amp;"'"&amp;"!A:A"),结果表!B19,INDIRECT("'"&amp;D4&amp;"'"&amp;"!B:B"))</f>
        <v>9.5157000000000007</v>
      </c>
      <c r="E19" s="1761" t="s">
        <v>1292</v>
      </c>
      <c r="F19" s="1762" t="s">
        <v>1291</v>
      </c>
      <c r="G19" s="136">
        <f ca="1">ROUND(C19*$C$18+D19*$D$18,4)</f>
        <v>20.675899999999999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3912</v>
      </c>
      <c r="D20" s="138">
        <f ca="1">SUMIF(INDIRECT("'"&amp;D4&amp;"'"&amp;"!A:A"),结果表!B20,INDIRECT("'"&amp;D4&amp;"'"&amp;"!B:B"))</f>
        <v>1586</v>
      </c>
      <c r="E20" s="1764"/>
      <c r="F20" s="1026" t="s">
        <v>1295</v>
      </c>
      <c r="G20" s="139">
        <f ca="1">ROUND(C20*$C$18+D20*$D$18,0)</f>
        <v>3447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1.4660298243954726</v>
      </c>
      <c r="E22" s="129"/>
      <c r="F22" s="129"/>
      <c r="G22" s="129"/>
      <c r="H22" s="129"/>
      <c r="I22" s="129"/>
    </row>
    <row r="23" spans="1:36" ht="13.5" thickBot="1">
      <c r="A23" s="1747"/>
      <c r="B23" s="1747"/>
      <c r="C23" s="1747"/>
      <c r="D23" s="1747"/>
      <c r="E23" s="129"/>
      <c r="F23" s="129"/>
      <c r="G23" s="129"/>
      <c r="H23" s="129"/>
      <c r="I23" s="129"/>
      <c r="J23" s="725">
        <f ca="1">G20*'数据-汇总表'!G19</f>
        <v>206751.06</v>
      </c>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3447</v>
      </c>
      <c r="D32" s="1775" t="s">
        <v>3428</v>
      </c>
      <c r="E32" s="129"/>
      <c r="F32" s="129"/>
      <c r="G32" s="129"/>
      <c r="H32" s="129"/>
      <c r="I32" s="129"/>
    </row>
    <row r="33" spans="1:15" ht="15">
      <c r="A33" s="786" t="s">
        <v>1306</v>
      </c>
      <c r="B33" s="1776"/>
      <c r="C33" s="1777" t="s">
        <v>3427</v>
      </c>
      <c r="D33" s="1778" t="s">
        <v>3383</v>
      </c>
      <c r="E33" s="1779" t="s">
        <v>1307</v>
      </c>
      <c r="F33" s="1780" t="str">
        <f>IF(D32="楼面单价","取值（单价）","取值（总价）")</f>
        <v>取值（单价）</v>
      </c>
      <c r="G33" s="129"/>
      <c r="H33" s="129"/>
      <c r="I33" s="129"/>
    </row>
    <row r="34" spans="1:15" ht="15">
      <c r="A34" s="1781"/>
      <c r="B34" s="1782" t="s">
        <v>1308</v>
      </c>
      <c r="C34" s="148">
        <f ca="1">IF(C33="自定义",F34,C32-C35)</f>
        <v>-8883</v>
      </c>
      <c r="D34" s="861">
        <f ca="1">IF(C33="自定义",ROUND(C34/C32,3),IF(C33="收益比率",SUMIF(INDIRECT("'"&amp;D33&amp;"'"&amp;"!b:b"),"土地收益比率",INDIRECT("'"&amp;D33&amp;"'"&amp;"!c:c")),SUMIF(INDIRECT("'"&amp;D33&amp;"'"&amp;"!b:b"),"土地成本比率",INDIRECT("'"&amp;D33&amp;"'"&amp;"!c:c"))))</f>
        <v>-2.577</v>
      </c>
      <c r="E34" s="1783" t="s">
        <v>1309</v>
      </c>
      <c r="F34" s="1330"/>
      <c r="G34" s="129"/>
      <c r="H34" s="129"/>
      <c r="I34" s="129"/>
    </row>
    <row r="35" spans="1:15" ht="15.75" thickBot="1">
      <c r="A35" s="1784"/>
      <c r="B35" s="1785" t="s">
        <v>1310</v>
      </c>
      <c r="C35" s="1170">
        <f ca="1">IF(C33="自定义",F35,ROUND(C32*D35,0))</f>
        <v>12330</v>
      </c>
      <c r="D35" s="1171">
        <f ca="1">IF(C33="自定义",ROUND(C35/C32,3),IF(C33="收益比率",SUMIF(INDIRECT("'"&amp;D33&amp;"'"&amp;"!b:b"),"建筑物收益比率",INDIRECT("'"&amp;D33&amp;"'"&amp;"!c:c")),SUMIF(INDIRECT("'"&amp;D33&amp;"'"&amp;"!b:b"),"建筑物成本比率",INDIRECT("'"&amp;D33&amp;"'"&amp;"!c:c"))))</f>
        <v>3.577</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f ca="1">ROUND(H101*F45,0)</f>
        <v>21</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1">
        <v>1</v>
      </c>
      <c r="K46" s="3618" t="s">
        <v>1331</v>
      </c>
      <c r="L46" s="3618"/>
      <c r="M46" s="3638"/>
      <c r="N46" s="3638"/>
      <c r="O46" s="3638"/>
    </row>
    <row r="47" spans="1:15" ht="12" customHeight="1">
      <c r="A47" s="160" t="s">
        <v>1332</v>
      </c>
      <c r="B47" s="161"/>
      <c r="C47" s="162"/>
      <c r="D47" s="1087" t="s">
        <v>1333</v>
      </c>
      <c r="E47" s="302" t="s">
        <v>1334</v>
      </c>
      <c r="F47" s="163" t="s">
        <v>1335</v>
      </c>
      <c r="G47" s="2544" t="s">
        <v>1336</v>
      </c>
      <c r="H47" s="2545"/>
      <c r="I47" s="159"/>
      <c r="J47" s="2521">
        <v>2</v>
      </c>
      <c r="K47" s="3618" t="s">
        <v>1337</v>
      </c>
      <c r="L47" s="3618"/>
      <c r="M47" s="3639">
        <f>'数据-取费表'!B2</f>
        <v>45069</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18" t="s">
        <v>1340</v>
      </c>
      <c r="L48" s="3618"/>
      <c r="M48" s="3640">
        <f ca="1">H101</f>
        <v>21</v>
      </c>
      <c r="N48" s="3640"/>
      <c r="O48" s="3640"/>
    </row>
    <row r="49" spans="1:35" ht="25.5" customHeight="1">
      <c r="A49" s="2333" t="s">
        <v>1341</v>
      </c>
      <c r="B49" s="3554" t="s">
        <v>1342</v>
      </c>
      <c r="C49" s="3554"/>
      <c r="D49" s="1590">
        <v>0</v>
      </c>
      <c r="E49" s="324" t="s">
        <v>1343</v>
      </c>
      <c r="F49" s="2424" t="s">
        <v>28</v>
      </c>
      <c r="G49" s="3624"/>
      <c r="H49" s="2310" t="s">
        <v>2134</v>
      </c>
      <c r="I49" s="2311"/>
      <c r="J49" s="2521">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2549"/>
      <c r="B50" s="3554" t="s">
        <v>1344</v>
      </c>
      <c r="C50" s="3554"/>
      <c r="D50" s="2550"/>
      <c r="E50" s="332"/>
      <c r="F50" s="2424"/>
      <c r="G50" s="3625"/>
      <c r="H50" s="2312" t="s">
        <v>2135</v>
      </c>
      <c r="I50" s="2311"/>
      <c r="J50" s="3637" t="s">
        <v>1345</v>
      </c>
      <c r="K50" s="3637"/>
      <c r="L50" s="3637"/>
      <c r="M50" s="3637"/>
      <c r="N50" s="3637"/>
      <c r="O50" s="3637"/>
    </row>
    <row r="51" spans="1:35" ht="20.45" customHeight="1">
      <c r="A51" s="2551"/>
      <c r="B51" s="3554" t="s">
        <v>1346</v>
      </c>
      <c r="C51" s="3554"/>
      <c r="D51" s="1087"/>
      <c r="E51" s="327"/>
      <c r="F51" s="2424"/>
      <c r="G51" s="3626"/>
      <c r="H51" s="2312" t="s">
        <v>2136</v>
      </c>
      <c r="I51" s="2311"/>
      <c r="J51" s="2522" t="s">
        <v>1347</v>
      </c>
      <c r="K51" s="3618" t="s">
        <v>1348</v>
      </c>
      <c r="L51" s="3618"/>
      <c r="M51" s="2522" t="s">
        <v>1349</v>
      </c>
      <c r="N51" s="2522" t="s">
        <v>1350</v>
      </c>
      <c r="O51" s="2522" t="s">
        <v>1351</v>
      </c>
    </row>
    <row r="52" spans="1:35" ht="24" customHeight="1">
      <c r="A52" s="2335" t="s">
        <v>1352</v>
      </c>
      <c r="B52" s="3554" t="s">
        <v>1353</v>
      </c>
      <c r="C52" s="3554"/>
      <c r="D52" s="1087">
        <f ca="1">ROUND(D45*'数据-取费表'!B41/(1+'数据-取费表'!C42),0)</f>
        <v>1</v>
      </c>
      <c r="E52" s="2334" t="s">
        <v>1354</v>
      </c>
      <c r="F52" s="2552">
        <f>'数据-取费表'!B41</f>
        <v>5.5000000000000007E-2</v>
      </c>
      <c r="G52" s="2553"/>
      <c r="H52" s="2542"/>
      <c r="I52" s="1807"/>
      <c r="J52" s="2521">
        <v>1</v>
      </c>
      <c r="K52" s="3619" t="s">
        <v>1355</v>
      </c>
      <c r="L52" s="3619"/>
      <c r="M52" s="2523" t="b">
        <f>D48</f>
        <v>0</v>
      </c>
      <c r="N52" s="2521" t="str">
        <f>E48</f>
        <v>销售额×税（费）率</v>
      </c>
      <c r="O52" s="2524">
        <f>F48</f>
        <v>5.5000000000000007E-2</v>
      </c>
    </row>
    <row r="53" spans="1:35" ht="12" customHeight="1">
      <c r="A53" s="2335" t="s">
        <v>1356</v>
      </c>
      <c r="B53" s="3580" t="s">
        <v>2282</v>
      </c>
      <c r="C53" s="3581"/>
      <c r="D53" s="1087">
        <f ca="1">ROUND(D45*'数据-取费表'!B41/(1+'数据-取费表'!C42),0)</f>
        <v>1</v>
      </c>
      <c r="E53" s="2334" t="s">
        <v>1354</v>
      </c>
      <c r="F53" s="2552">
        <f>'数据-取费表'!B41</f>
        <v>5.5000000000000007E-2</v>
      </c>
      <c r="G53" s="2553"/>
      <c r="H53" s="2542"/>
      <c r="I53" s="1807"/>
      <c r="J53" s="2521">
        <v>2</v>
      </c>
      <c r="K53" s="3619" t="s">
        <v>1357</v>
      </c>
      <c r="L53" s="3619"/>
      <c r="M53" s="2523">
        <f t="shared" ref="M53:O54" ca="1" si="0">D55</f>
        <v>0</v>
      </c>
      <c r="N53" s="2521" t="str">
        <f t="shared" si="0"/>
        <v>销售额×税（费）率</v>
      </c>
      <c r="O53" s="2524" t="str">
        <f t="shared" si="0"/>
        <v>免征</v>
      </c>
    </row>
    <row r="54" spans="1:35" ht="12" customHeight="1">
      <c r="A54" s="2335" t="s">
        <v>1358</v>
      </c>
      <c r="B54" s="3580" t="s">
        <v>2283</v>
      </c>
      <c r="C54" s="3581"/>
      <c r="D54" s="1087">
        <f ca="1">C68</f>
        <v>1</v>
      </c>
      <c r="E54" s="327" t="s">
        <v>1359</v>
      </c>
      <c r="F54" s="2552">
        <f>'数据-取费表'!B41</f>
        <v>5.5000000000000007E-2</v>
      </c>
      <c r="G54" s="2553"/>
      <c r="H54" s="2554"/>
      <c r="I54" s="1807"/>
      <c r="J54" s="2521">
        <v>3</v>
      </c>
      <c r="K54" s="3619" t="s">
        <v>1360</v>
      </c>
      <c r="L54" s="3619"/>
      <c r="M54" s="2523" t="e">
        <f t="shared" ca="1" si="0"/>
        <v>#DIV/0!</v>
      </c>
      <c r="N54" s="2521" t="str">
        <f t="shared" si="0"/>
        <v>增值额×税（费）率</v>
      </c>
      <c r="O54" s="2525" t="str">
        <f t="shared" si="0"/>
        <v>免征</v>
      </c>
    </row>
    <row r="55" spans="1:35" ht="24" customHeight="1">
      <c r="A55" s="3569" t="s">
        <v>1361</v>
      </c>
      <c r="B55" s="3570"/>
      <c r="C55" s="3570"/>
      <c r="D55" s="2324">
        <f ca="1">IF(H55="个人住宅",0,ROUND(D45*I55,0))</f>
        <v>0</v>
      </c>
      <c r="E55" s="2334" t="s">
        <v>1362</v>
      </c>
      <c r="F55" s="2552" t="str">
        <f>IF(H55="正常",I55,"免征")</f>
        <v>免征</v>
      </c>
      <c r="G55" s="2553"/>
      <c r="H55" s="2548"/>
      <c r="I55" s="165">
        <f>'数据-取费表'!B49</f>
        <v>5.0000000000000001E-4</v>
      </c>
      <c r="J55" s="2521">
        <f>IF(H59="非个人房产","",4)</f>
        <v>4</v>
      </c>
      <c r="K55" s="3619" t="str">
        <f>IF(H59="非个人房产","——","个人所得税")</f>
        <v>个人所得税</v>
      </c>
      <c r="L55" s="3619"/>
      <c r="M55" s="2526">
        <f ca="1">D59</f>
        <v>0</v>
      </c>
      <c r="N55" s="2040" t="str">
        <f>E59</f>
        <v>差额计税</v>
      </c>
      <c r="O55" s="2527">
        <f>F59</f>
        <v>0.01</v>
      </c>
    </row>
    <row r="56" spans="1:35" ht="24.75">
      <c r="A56" s="3569" t="s">
        <v>1363</v>
      </c>
      <c r="B56" s="3570"/>
      <c r="C56" s="3570"/>
      <c r="D56" s="2324" t="e">
        <f ca="1">IF(H56="个人住宅",D57,D58)</f>
        <v>#DIV/0!</v>
      </c>
      <c r="E56" s="2334" t="s">
        <v>1364</v>
      </c>
      <c r="F56" s="2552" t="str">
        <f>IF(H56="正常",F58,"免征")</f>
        <v>免征</v>
      </c>
      <c r="G56" s="2555" t="s">
        <v>1365</v>
      </c>
      <c r="H56" s="2556"/>
      <c r="I56" s="1808"/>
      <c r="J56" s="2521" t="str">
        <f>IF(项目基本情况!K6="上海银行",IF(J55="",4,J55+1),"")</f>
        <v/>
      </c>
      <c r="K56" s="3642" t="str">
        <f>IF(项目基本情况!K6="上海银行","其他处置费用","")</f>
        <v/>
      </c>
      <c r="L56" s="3643"/>
      <c r="M56" s="2523"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3"/>
      <c r="H57" s="2557"/>
      <c r="I57" s="1808"/>
      <c r="J57" s="3619">
        <f>IF(AND(J55="",J56=""),4,IF(项目基本情况!K6="上海银行",结果表!J56+1,结果表!J55+1))</f>
        <v>5</v>
      </c>
      <c r="K57" s="3619" t="s">
        <v>1367</v>
      </c>
      <c r="L57" s="2528" t="s">
        <v>1368</v>
      </c>
      <c r="M57" s="2529"/>
      <c r="N57" s="2530">
        <f ca="1">SUMIF(M52:M56,"&lt;9e307")</f>
        <v>0</v>
      </c>
      <c r="O57" s="2531"/>
      <c r="P57" s="2688" t="e">
        <f ca="1">N57/M49</f>
        <v>#VALUE!</v>
      </c>
    </row>
    <row r="58" spans="1:35" ht="24.75">
      <c r="A58" s="2335" t="s">
        <v>1352</v>
      </c>
      <c r="B58" s="3580" t="s">
        <v>1369</v>
      </c>
      <c r="C58" s="3554"/>
      <c r="D58" s="2324" t="e">
        <f ca="1">IF(H58="转让取得",C81,C97)</f>
        <v>#DIV/0!</v>
      </c>
      <c r="E58" s="2334" t="s">
        <v>1364</v>
      </c>
      <c r="F58" s="302" t="s">
        <v>28</v>
      </c>
      <c r="G58" s="2553"/>
      <c r="H58" s="2556"/>
      <c r="I58" s="1808"/>
      <c r="J58" s="3619"/>
      <c r="K58" s="3619"/>
      <c r="L58" s="2528" t="s">
        <v>1370</v>
      </c>
      <c r="M58" s="2532"/>
      <c r="N58" s="2533" t="str">
        <f ca="1">NUMBERSTRING(INT(N57*10000),2)&amp;"元整"</f>
        <v>零元整</v>
      </c>
      <c r="O58" s="2534"/>
    </row>
    <row r="59" spans="1:35" ht="24.75" thickBot="1">
      <c r="A59" s="3622" t="s">
        <v>1371</v>
      </c>
      <c r="B59" s="3623"/>
      <c r="C59" s="3623"/>
      <c r="D59" s="2558">
        <f ca="1">IF(H59="非个人房产","——",IF(H59="个人住宅（满五唯一有凭证）",0,IF(H59="个人其他（无凭证）",ROUND(D45*F59,0),ROUND(C67*F59,0))))</f>
        <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20">
        <f>J57+1</f>
        <v>6</v>
      </c>
      <c r="K59" s="3619" t="s">
        <v>1372</v>
      </c>
      <c r="L59" s="2521" t="s">
        <v>1368</v>
      </c>
      <c r="M59" s="2535"/>
      <c r="N59" s="2536" t="e">
        <f ca="1">M49-N57</f>
        <v>#VALUE!</v>
      </c>
      <c r="O59" s="2537"/>
    </row>
    <row r="60" spans="1:35" ht="12" customHeight="1">
      <c r="A60" s="1809"/>
      <c r="B60" s="1747"/>
      <c r="C60" s="1747"/>
      <c r="D60" s="1747"/>
      <c r="E60" s="1578"/>
      <c r="F60" s="1808"/>
      <c r="G60" s="1808"/>
      <c r="H60" s="1810"/>
      <c r="I60" s="129"/>
      <c r="J60" s="3621"/>
      <c r="K60" s="3619"/>
      <c r="L60" s="2528" t="s">
        <v>1370</v>
      </c>
      <c r="M60" s="2532"/>
      <c r="N60" s="2533" t="e">
        <f ca="1">NUMBERSTRING(INT(N59*10000),2)&amp;"元整"</f>
        <v>#VALUE!</v>
      </c>
      <c r="O60" s="2534"/>
    </row>
    <row r="61" spans="1:35" ht="13.5" thickBot="1">
      <c r="A61" s="3567" t="s">
        <v>1373</v>
      </c>
      <c r="B61" s="3567"/>
      <c r="C61" s="3567"/>
      <c r="D61" s="3567"/>
      <c r="E61" s="3567"/>
      <c r="F61" s="1808"/>
      <c r="G61" s="1808"/>
      <c r="H61" s="1810"/>
      <c r="I61" s="129"/>
      <c r="J61" s="2521">
        <f>J59+1</f>
        <v>7</v>
      </c>
      <c r="K61" s="3619" t="s">
        <v>1374</v>
      </c>
      <c r="L61" s="3619"/>
      <c r="M61" s="2538"/>
      <c r="N61" s="2539" t="e">
        <f ca="1">ROUND(N59*10000/'数据-汇总表'!E3,0)</f>
        <v>#VALUE!</v>
      </c>
      <c r="O61" s="2540"/>
    </row>
    <row r="62" spans="1:35" ht="12.75">
      <c r="A62" s="3585" t="s">
        <v>1375</v>
      </c>
      <c r="B62" s="3586"/>
      <c r="C62" s="2021"/>
      <c r="D62" s="2021" t="s">
        <v>1376</v>
      </c>
      <c r="E62" s="166" t="s">
        <v>1377</v>
      </c>
      <c r="F62" s="1808"/>
      <c r="G62" s="1808"/>
      <c r="H62" s="1810"/>
      <c r="I62" s="129"/>
    </row>
    <row r="63" spans="1:35" ht="12.75">
      <c r="A63" s="173" t="s">
        <v>330</v>
      </c>
      <c r="B63" s="167" t="s">
        <v>1378</v>
      </c>
      <c r="C63" s="2562">
        <f ca="1">ROUND((C64+C65)/(1+'数据-取费表'!C42),0)</f>
        <v>20</v>
      </c>
      <c r="D63" s="167"/>
      <c r="E63" s="168"/>
      <c r="F63" s="1808"/>
      <c r="G63" s="1808"/>
      <c r="H63" s="1810"/>
      <c r="I63" s="129"/>
      <c r="J63" s="364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21</v>
      </c>
      <c r="D64" s="170" t="s">
        <v>26</v>
      </c>
      <c r="E64" s="172"/>
      <c r="F64" s="1808"/>
      <c r="G64" s="1808"/>
      <c r="H64" s="1810"/>
      <c r="I64" s="129"/>
      <c r="J64" s="364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4"/>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4"/>
      <c r="K66" s="1332" t="s">
        <v>1387</v>
      </c>
      <c r="L66" s="1332" t="e">
        <f>M49*0.5%</f>
        <v>#VALUE!</v>
      </c>
      <c r="M66" s="302" t="e">
        <f>IF(L66&gt;0.5,0.5,ROUND(L66,0))</f>
        <v>#VALUE!</v>
      </c>
      <c r="N66" s="2542" t="s">
        <v>1388</v>
      </c>
      <c r="Z66" s="1752"/>
      <c r="AI66" s="1753"/>
    </row>
    <row r="67" spans="1:35" ht="14.25" customHeight="1">
      <c r="A67" s="173" t="s">
        <v>328</v>
      </c>
      <c r="B67" s="174" t="s">
        <v>1389</v>
      </c>
      <c r="C67" s="2566">
        <f ca="1">C63-C66</f>
        <v>20</v>
      </c>
      <c r="D67" s="170" t="s">
        <v>26</v>
      </c>
      <c r="E67" s="172"/>
      <c r="F67" s="1808"/>
      <c r="G67" s="1808"/>
      <c r="H67" s="1810"/>
      <c r="I67" s="129"/>
      <c r="J67" s="364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1</v>
      </c>
      <c r="D68" s="2568">
        <f>'数据-取费表'!B41</f>
        <v>5.5000000000000007E-2</v>
      </c>
      <c r="E68" s="178"/>
      <c r="F68" s="1808"/>
      <c r="G68" s="1808"/>
      <c r="H68" s="1810"/>
      <c r="I68" s="129"/>
      <c r="J68" s="364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0</v>
      </c>
      <c r="D78" s="2575">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6" t="s">
        <v>2129</v>
      </c>
      <c r="H90" s="3647"/>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4" t="s">
        <v>1422</v>
      </c>
      <c r="F92" s="3565"/>
      <c r="G92" s="3565"/>
      <c r="H92" s="3574"/>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0</v>
      </c>
      <c r="D93" s="2575">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3" t="str">
        <f>C4</f>
        <v>比较法-车位</v>
      </c>
      <c r="D101" s="2584" t="str">
        <f>D4</f>
        <v>收益法 (元)</v>
      </c>
      <c r="E101" s="3641" t="s">
        <v>1431</v>
      </c>
      <c r="F101" s="3598"/>
      <c r="G101" s="1827" t="s">
        <v>1432</v>
      </c>
      <c r="H101" s="2593">
        <f ca="1">H118</f>
        <v>21</v>
      </c>
      <c r="I101" s="129"/>
    </row>
    <row r="102" spans="1:35" ht="18.75" customHeight="1">
      <c r="A102" s="3600" t="s">
        <v>1433</v>
      </c>
      <c r="B102" s="2582" t="s">
        <v>1432</v>
      </c>
      <c r="C102" s="2583">
        <f ca="1">IF(D32="楼面单价",ROUND(C19,0),C19)</f>
        <v>23</v>
      </c>
      <c r="D102" s="2584">
        <f ca="1">IF(D32="楼面单价",ROUND(D19,0),D19)</f>
        <v>10</v>
      </c>
      <c r="E102" s="3641"/>
      <c r="F102" s="3598"/>
      <c r="G102" s="1827" t="s">
        <v>1434</v>
      </c>
      <c r="H102" s="2553">
        <f ca="1">I118</f>
        <v>3447</v>
      </c>
      <c r="I102" s="129"/>
    </row>
    <row r="103" spans="1:35" ht="42.75" customHeight="1">
      <c r="A103" s="3600"/>
      <c r="B103" s="2582" t="s">
        <v>1434</v>
      </c>
      <c r="C103" s="2585">
        <f ca="1">C20</f>
        <v>3912</v>
      </c>
      <c r="D103" s="2586">
        <f ca="1">D20</f>
        <v>1586</v>
      </c>
      <c r="E103" s="3635" t="s">
        <v>1435</v>
      </c>
      <c r="F103" s="3636"/>
      <c r="G103" s="1828" t="s">
        <v>1436</v>
      </c>
      <c r="H103" s="2593">
        <f>IF(D36="正常操作",H104+H105+H106,H105+H106)</f>
        <v>0</v>
      </c>
      <c r="I103" s="129"/>
    </row>
    <row r="104" spans="1:35" ht="18.75" customHeight="1">
      <c r="A104" s="3600" t="s">
        <v>1437</v>
      </c>
      <c r="B104" s="2587" t="s">
        <v>1432</v>
      </c>
      <c r="C104" s="2588">
        <f ca="1">H118</f>
        <v>21</v>
      </c>
      <c r="D104" s="2589"/>
      <c r="E104" s="1674" t="s">
        <v>1438</v>
      </c>
      <c r="F104" s="1666"/>
      <c r="G104" s="1828" t="s">
        <v>1436</v>
      </c>
      <c r="H104" s="2594">
        <f>IF(D36="同一抵押权人同一抵押物续贷",C36&amp;"（续贷，未扣减，详见特别提示）",C36)</f>
        <v>0</v>
      </c>
      <c r="I104" s="129"/>
    </row>
    <row r="105" spans="1:35" ht="18.75" customHeight="1" thickBot="1">
      <c r="A105" s="3601"/>
      <c r="B105" s="2590" t="s">
        <v>1434</v>
      </c>
      <c r="C105" s="2591">
        <f ca="1">I118</f>
        <v>3447</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7" t="str">
        <f>IF(项目基本情况!E8="已注销","——","3.房地产抵押价值")</f>
        <v>3.房地产抵押价值</v>
      </c>
      <c r="F107" s="3598"/>
      <c r="G107" s="1827" t="s">
        <v>1432</v>
      </c>
      <c r="H107" s="2593">
        <f ca="1">IF(E107="——","——",H101-H103)</f>
        <v>21</v>
      </c>
      <c r="I107" s="129"/>
    </row>
    <row r="108" spans="1:35" ht="18.75" customHeight="1">
      <c r="A108" s="129"/>
      <c r="B108" s="129"/>
      <c r="C108" s="129"/>
      <c r="D108" s="129"/>
      <c r="E108" s="3597"/>
      <c r="F108" s="3598"/>
      <c r="G108" s="1827" t="s">
        <v>1434</v>
      </c>
      <c r="H108" s="2553">
        <f ca="1">IF(H107=H101,H102,ROUND(H107*10000/'数据-汇总表'!E3,0))</f>
        <v>3447</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6" t="str">
        <f>IF(E109="——","——",H101-H105-H106)</f>
        <v>——</v>
      </c>
      <c r="I109" s="129"/>
    </row>
    <row r="110" spans="1:35" ht="18.75" customHeight="1">
      <c r="A110" s="129"/>
      <c r="B110" s="129"/>
      <c r="C110" s="129"/>
      <c r="D110" s="129"/>
      <c r="E110" s="3597"/>
      <c r="F110" s="3598"/>
      <c r="G110" s="1827"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3" t="str">
        <f>IF(E111="——","——",N59)</f>
        <v>——</v>
      </c>
      <c r="I111" s="129"/>
    </row>
    <row r="112" spans="1:35" ht="18.75" customHeight="1" thickBot="1">
      <c r="A112" s="129"/>
      <c r="B112" s="129"/>
      <c r="C112" s="129"/>
      <c r="D112" s="129"/>
      <c r="E112" s="3630"/>
      <c r="F112" s="3631"/>
      <c r="G112" s="1830" t="s">
        <v>1434</v>
      </c>
      <c r="H112" s="2597"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北京市大兴区三羊南街10号院32幢-01层415房地产</v>
      </c>
      <c r="B118" s="2329">
        <f>M18</f>
        <v>59.98</v>
      </c>
      <c r="C118" s="2329">
        <f>M19</f>
        <v>0</v>
      </c>
      <c r="D118" s="2329">
        <f ca="1">ROUND(IF(D32="总价",C34,E118*B118/10000),0)</f>
        <v>-53</v>
      </c>
      <c r="E118" s="2329">
        <f ca="1">ROUND(IF(C33="自定义",IF(D32="楼面单价",C34,D118*10000/B118),I118-G118),0)</f>
        <v>-8883</v>
      </c>
      <c r="F118" s="2329">
        <f ca="1">ROUND(IF(D32="总价",C35,G118*B118/10000),0)</f>
        <v>74</v>
      </c>
      <c r="G118" s="2329">
        <f ca="1">ROUND(IF(D32="楼面单价",C35,F118*10000/B118),0)</f>
        <v>12330</v>
      </c>
      <c r="H118" s="2329">
        <f ca="1">ROUND(IF(D32="总价",C32,I118*B118/10000),0)</f>
        <v>21</v>
      </c>
      <c r="I118" s="2329">
        <f ca="1">ROUND(IF(D32="楼面单价",C32,H118*10000/B118),0)</f>
        <v>3447</v>
      </c>
    </row>
    <row r="119" spans="1:27" ht="18.75" customHeight="1">
      <c r="A119" s="3568" t="s">
        <v>1452</v>
      </c>
      <c r="B119" s="3568"/>
      <c r="C119" s="3568"/>
      <c r="D119" s="3608" t="e">
        <f ca="1">NUMBERSTRING(INT(D118*10000),2)&amp;"元整"</f>
        <v>#NUM!</v>
      </c>
      <c r="E119" s="3610"/>
      <c r="F119" s="3608" t="str">
        <f ca="1">NUMBERSTRING(INT(F118*10000),2)&amp;"元整"</f>
        <v>柒拾肆万元整</v>
      </c>
      <c r="G119" s="3610"/>
      <c r="H119" s="3608" t="str">
        <f ca="1">NUMBERSTRING(INT(H118*10000),2)&amp;"元整"</f>
        <v>贰拾壹万元整</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f ca="1">H107</f>
        <v>21</v>
      </c>
      <c r="E122" s="3633"/>
      <c r="F122" s="3633"/>
      <c r="G122" s="3633"/>
      <c r="H122" s="3633"/>
      <c r="I122" s="3634"/>
      <c r="AA122" s="725"/>
    </row>
    <row r="123" spans="1:27" ht="18.75" customHeight="1">
      <c r="A123" s="3568" t="s">
        <v>1452</v>
      </c>
      <c r="B123" s="3568"/>
      <c r="C123" s="3568"/>
      <c r="D123" s="3608" t="str">
        <f ca="1">NUMBERSTRING(INT(D122*10000),2)&amp;"元整"</f>
        <v>贰拾壹万元整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1240080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7438</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北京市大兴区三羊南街10号院32幢-01层415房地产市场价值预评估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26.256599999999999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231373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209930</v>
      </c>
      <c r="D34" s="217"/>
      <c r="E34" s="220"/>
      <c r="F34" s="257"/>
      <c r="G34" s="219"/>
    </row>
    <row r="35" spans="1:7" ht="13.5" customHeight="1">
      <c r="A35" s="780" t="s">
        <v>351</v>
      </c>
      <c r="B35" s="215" t="s">
        <v>1527</v>
      </c>
      <c r="C35" s="220">
        <f ca="1">ROUND(C34*F35,0)</f>
        <v>6298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3149</v>
      </c>
      <c r="D38" s="220"/>
      <c r="E38" s="220"/>
      <c r="F38" s="259">
        <f>'数据-取费表'!B36</f>
        <v>1.4999999999999999E-2</v>
      </c>
      <c r="G38" s="219" t="s">
        <v>1528</v>
      </c>
    </row>
    <row r="39" spans="1:7" s="214" customFormat="1" ht="13.5" customHeight="1">
      <c r="A39" s="255" t="s">
        <v>1534</v>
      </c>
      <c r="B39" s="210" t="s">
        <v>1535</v>
      </c>
      <c r="C39" s="232">
        <f ca="1">ROUND(C33*F20,0)</f>
        <v>4627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10990</v>
      </c>
      <c r="D42" s="238"/>
      <c r="E42" s="238"/>
      <c r="F42" s="239"/>
      <c r="G42" s="3648" t="s">
        <v>1591</v>
      </c>
    </row>
    <row r="43" spans="1:7" ht="13.5" customHeight="1">
      <c r="A43" s="780" t="s">
        <v>347</v>
      </c>
      <c r="B43" s="215" t="s">
        <v>1545</v>
      </c>
      <c r="C43" s="238">
        <f ca="1">ROUND(IF('数据-取费表'!B22&lt;=1,C39*F22*'数据-取费表'!B20/2,C39*(POWER((1+F22),'数据-取费表'!B20/2)-1)),0)</f>
        <v>220</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11800</v>
      </c>
      <c r="D45" s="235">
        <f ca="1">C47</f>
        <v>1E-3</v>
      </c>
      <c r="E45" s="236" t="s">
        <v>1539</v>
      </c>
      <c r="F45" s="246">
        <f ca="1">F27</f>
        <v>0.05</v>
      </c>
      <c r="G45" s="247" t="s">
        <v>1548</v>
      </c>
    </row>
    <row r="46" spans="1:7" s="214" customFormat="1" ht="13.5" customHeight="1">
      <c r="A46" s="780" t="s">
        <v>346</v>
      </c>
      <c r="B46" s="248" t="s">
        <v>1549</v>
      </c>
      <c r="C46" s="249">
        <f ca="1">ROUND((C33+C39)*F27,0)</f>
        <v>11800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279829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232258</v>
      </c>
      <c r="D51" s="232"/>
      <c r="E51" s="232"/>
      <c r="F51" s="264"/>
      <c r="G51" s="234" t="s">
        <v>1560</v>
      </c>
    </row>
    <row r="52" spans="1:7" s="208" customFormat="1" ht="16.5" thickBot="1">
      <c r="A52" s="265" t="s">
        <v>1561</v>
      </c>
      <c r="B52" s="266"/>
      <c r="C52" s="267">
        <f ca="1">C31+C51</f>
        <v>262566</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R39" sqref="R39:W39"/>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t="s">
        <v>3378</v>
      </c>
      <c r="E1" s="3431" t="s">
        <v>3386</v>
      </c>
      <c r="F1" s="1879" t="s">
        <v>3387</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10000,4),ROUND(F3*C39/10000,4)),IF(B37="元/平方米",ROUND(C39*D3/10000,4),ROUND(F3*C39/10000,4))-D2),IF(E1="单套模式",IF(C2="——",IF(B37="元/平方米",ROUND(C39*D3/10000,4),ROUND(F3*C39/10000,4)),IF(B37="元/平方米",ROUND(C39*D3/10000,4),ROUND(F3*C39/10000,4))-D2)))</f>
        <v>23.466000000000001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3912</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23</v>
      </c>
      <c r="N3" s="2733"/>
      <c r="O3" s="2733"/>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3426</v>
      </c>
      <c r="D5" s="3688"/>
      <c r="E5" s="3694" t="s">
        <v>3429</v>
      </c>
      <c r="F5" s="3695"/>
      <c r="G5" s="3687" t="s">
        <v>3430</v>
      </c>
      <c r="H5" s="3688"/>
      <c r="I5" s="3687" t="s">
        <v>3431</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v>45047</v>
      </c>
      <c r="F7" s="367">
        <f>SUMIF(48:48,YEAR(E7)&amp;"-"&amp;MONTH(E7),49:49)</f>
        <v>100</v>
      </c>
      <c r="G7" s="366">
        <v>44986</v>
      </c>
      <c r="H7" s="365">
        <f>SUMIF(48:48,YEAR(G7)&amp;"-"&amp;MONTH(G7),49:49)</f>
        <v>100</v>
      </c>
      <c r="I7" s="366">
        <v>45047</v>
      </c>
      <c r="J7" s="365">
        <f>SUMIF(48:48,YEAR(I7)&amp;"-"&amp;MONTH(I7),49:49)</f>
        <v>100</v>
      </c>
      <c r="K7" s="560"/>
      <c r="L7" s="2715"/>
      <c r="M7" s="2716"/>
      <c r="N7" s="2716"/>
      <c r="O7" s="2716"/>
      <c r="P7" s="3689" t="s">
        <v>1680</v>
      </c>
      <c r="Q7" s="3691"/>
      <c r="R7" s="701" t="s">
        <v>14</v>
      </c>
      <c r="S7" s="702">
        <f t="shared" ref="S7:S14" si="0">F7</f>
        <v>100</v>
      </c>
      <c r="T7" s="701" t="s">
        <v>14</v>
      </c>
      <c r="U7" s="702">
        <f t="shared" ref="U7:U14" si="1">H7</f>
        <v>100</v>
      </c>
      <c r="V7" s="701" t="s">
        <v>14</v>
      </c>
      <c r="W7" s="702">
        <f t="shared" ref="W7:W14" si="2">J7</f>
        <v>100</v>
      </c>
      <c r="X7" s="703"/>
      <c r="Y7" s="3689" t="s">
        <v>1680</v>
      </c>
      <c r="Z7" s="3690"/>
      <c r="AA7" s="704">
        <f>D7/F7</f>
        <v>1</v>
      </c>
      <c r="AB7" s="704">
        <f>D7/H7</f>
        <v>1</v>
      </c>
      <c r="AC7" s="704">
        <f>D7/J7</f>
        <v>1</v>
      </c>
    </row>
    <row r="8" spans="1:29" s="108" customFormat="1" ht="15.75" thickBot="1">
      <c r="A8" s="362" t="s">
        <v>1681</v>
      </c>
      <c r="B8" s="363"/>
      <c r="C8" s="368" t="s">
        <v>3388</v>
      </c>
      <c r="D8" s="365">
        <v>100</v>
      </c>
      <c r="E8" s="368" t="s">
        <v>3388</v>
      </c>
      <c r="F8" s="367">
        <f>SUMIF(51:51,E8,52:52)-SUMIF(51:51,C8,52:52)+100</f>
        <v>100</v>
      </c>
      <c r="G8" s="368" t="s">
        <v>3388</v>
      </c>
      <c r="H8" s="365">
        <f>SUMIF(51:51,G8,52:52)-SUMIF(51:51,C8,52:52)+100</f>
        <v>100</v>
      </c>
      <c r="I8" s="368" t="s">
        <v>3388</v>
      </c>
      <c r="J8" s="365">
        <f>SUMIF(51:51,I8,52:52)-SUMIF(51:51,C8,52:52)+100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455" t="s">
        <v>3389</v>
      </c>
      <c r="D9" s="126">
        <v>100</v>
      </c>
      <c r="E9" s="373" t="s">
        <v>3372</v>
      </c>
      <c r="F9" s="126">
        <f>SUMIF(53:53,E9,54:54)-SUMIF(53:53,C9,54:54)+100</f>
        <v>100</v>
      </c>
      <c r="G9" s="373" t="s">
        <v>3372</v>
      </c>
      <c r="H9" s="126">
        <f>SUMIF(53:53,G9,54:54)-SUMIF(53:53,C9,54:54)+100</f>
        <v>100</v>
      </c>
      <c r="I9" s="373" t="s">
        <v>3372</v>
      </c>
      <c r="J9" s="126">
        <f>SUMIF(53:53,I9,54:54)-SUMIF(53:53,C9,54:54)+100</f>
        <v>100</v>
      </c>
      <c r="K9" s="560"/>
      <c r="L9" s="2715"/>
      <c r="M9" s="2716"/>
      <c r="N9" s="2716"/>
      <c r="O9" s="2716"/>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1" t="s">
        <v>3409</v>
      </c>
      <c r="F14" s="394">
        <f>SUMIF(63:63,E15,64:64)-SUMIF(63:63,C15,64:64)+100</f>
        <v>100</v>
      </c>
      <c r="G14" s="3461" t="s">
        <v>3405</v>
      </c>
      <c r="H14" s="392">
        <f>SUMIF(63:63,G15,64:64)-SUMIF(63:63,C15,64:64)+100</f>
        <v>100</v>
      </c>
      <c r="I14" s="3461" t="s">
        <v>3406</v>
      </c>
      <c r="J14" s="392">
        <f>SUMIF(63:63,I15,64:64)-SUMIF(63:63,C15,64:64)+100</f>
        <v>100</v>
      </c>
      <c r="K14" s="563">
        <v>2</v>
      </c>
      <c r="L14" s="2720"/>
      <c r="M14" s="2714"/>
      <c r="N14" s="2714"/>
      <c r="O14" s="2714"/>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58"/>
      <c r="B15" s="595"/>
      <c r="C15" s="398" t="s">
        <v>3390</v>
      </c>
      <c r="D15" s="399"/>
      <c r="E15" s="398" t="s">
        <v>3390</v>
      </c>
      <c r="F15" s="400"/>
      <c r="G15" s="398" t="s">
        <v>3390</v>
      </c>
      <c r="H15" s="401"/>
      <c r="I15" s="398" t="s">
        <v>3390</v>
      </c>
      <c r="J15" s="399"/>
      <c r="K15" s="564"/>
      <c r="L15" s="2720"/>
      <c r="M15" s="2714"/>
      <c r="N15" s="2714"/>
      <c r="O15" s="2714"/>
      <c r="P15" s="3662"/>
      <c r="Q15" s="1352"/>
      <c r="R15" s="705"/>
      <c r="S15" s="706"/>
      <c r="T15" s="705"/>
      <c r="U15" s="706"/>
      <c r="V15" s="705"/>
      <c r="W15" s="706"/>
      <c r="X15" s="1355"/>
      <c r="Y15" s="3662"/>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0" t="s">
        <v>3402</v>
      </c>
      <c r="F16" s="409">
        <f>SUMIF(65:65,E17,66:66)-SUMIF(65:65,C17,66:66)+100</f>
        <v>100</v>
      </c>
      <c r="G16" s="3460" t="s">
        <v>3407</v>
      </c>
      <c r="H16" s="406">
        <f>SUMIF(65:65,G17,66:66)-SUMIF(65:65,C17,66:66)+100</f>
        <v>100</v>
      </c>
      <c r="I16" s="3460" t="s">
        <v>3408</v>
      </c>
      <c r="J16" s="406">
        <f>SUMIF(65:65,I17,66:66)-SUMIF(65:65,C17,66:66)+100</f>
        <v>100</v>
      </c>
      <c r="K16" s="563">
        <v>2</v>
      </c>
      <c r="L16" s="2720"/>
      <c r="M16" s="2714"/>
      <c r="N16" s="2714"/>
      <c r="O16" s="2714"/>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t="s">
        <v>3390</v>
      </c>
      <c r="D17" s="399"/>
      <c r="E17" s="1901" t="s">
        <v>3390</v>
      </c>
      <c r="F17" s="400"/>
      <c r="G17" s="1901" t="s">
        <v>3390</v>
      </c>
      <c r="H17" s="399"/>
      <c r="I17" s="1901" t="s">
        <v>3390</v>
      </c>
      <c r="J17" s="399"/>
      <c r="K17" s="564"/>
      <c r="L17" s="2720"/>
      <c r="M17" s="2714"/>
      <c r="N17" s="2714"/>
      <c r="O17" s="2714"/>
      <c r="P17" s="3662"/>
      <c r="Q17" s="1352"/>
      <c r="R17" s="705"/>
      <c r="S17" s="706"/>
      <c r="T17" s="705"/>
      <c r="U17" s="706"/>
      <c r="V17" s="705"/>
      <c r="W17" s="706"/>
      <c r="X17" s="1355"/>
      <c r="Y17" s="3662"/>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20"/>
      <c r="M18" s="2714"/>
      <c r="N18" s="2714"/>
      <c r="O18" s="2714"/>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t="s">
        <v>3391</v>
      </c>
      <c r="D19" s="401"/>
      <c r="E19" s="1901" t="s">
        <v>3391</v>
      </c>
      <c r="F19" s="404"/>
      <c r="G19" s="1901" t="s">
        <v>3391</v>
      </c>
      <c r="H19" s="399"/>
      <c r="I19" s="1901" t="s">
        <v>3391</v>
      </c>
      <c r="J19" s="399"/>
      <c r="K19" s="1130"/>
      <c r="L19" s="2720"/>
      <c r="M19" s="2714"/>
      <c r="N19" s="2714"/>
      <c r="O19" s="2714"/>
      <c r="P19" s="3662"/>
      <c r="Q19" s="1352"/>
      <c r="R19" s="705"/>
      <c r="S19" s="706"/>
      <c r="T19" s="705"/>
      <c r="U19" s="706"/>
      <c r="V19" s="705"/>
      <c r="W19" s="706"/>
      <c r="X19" s="1355"/>
      <c r="Y19" s="3662"/>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0" t="s">
        <v>3404</v>
      </c>
      <c r="F20" s="409">
        <f>SUMIF(69:69,E21,70:70)-SUMIF(69:69,C21,70:70)+100</f>
        <v>100</v>
      </c>
      <c r="G20" s="3462" t="s">
        <v>3410</v>
      </c>
      <c r="H20" s="401">
        <f>SUMIF(69:69,G21,70:70)-SUMIF(69:69,C21,70:70)+100</f>
        <v>100</v>
      </c>
      <c r="I20" s="3462" t="s">
        <v>3421</v>
      </c>
      <c r="J20" s="401">
        <f>SUMIF(69:69,I21,70:70)-SUMIF(69:69,C21,70:70)+100</f>
        <v>100</v>
      </c>
      <c r="K20" s="563">
        <v>2</v>
      </c>
      <c r="L20" s="2720"/>
      <c r="M20" s="2714"/>
      <c r="N20" s="2714"/>
      <c r="O20" s="2714"/>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t="s">
        <v>3392</v>
      </c>
      <c r="D21" s="399"/>
      <c r="E21" s="398" t="s">
        <v>3392</v>
      </c>
      <c r="F21" s="400"/>
      <c r="G21" s="398" t="s">
        <v>3392</v>
      </c>
      <c r="H21" s="399"/>
      <c r="I21" s="398" t="s">
        <v>3392</v>
      </c>
      <c r="J21" s="399"/>
      <c r="K21" s="564"/>
      <c r="L21" s="2720"/>
      <c r="M21" s="2714"/>
      <c r="N21" s="2714"/>
      <c r="O21" s="2714"/>
      <c r="P21" s="3662"/>
      <c r="Q21" s="1352"/>
      <c r="R21" s="705"/>
      <c r="S21" s="706"/>
      <c r="T21" s="705"/>
      <c r="U21" s="706"/>
      <c r="V21" s="705"/>
      <c r="W21" s="706"/>
      <c r="X21" s="1355"/>
      <c r="Y21" s="3662"/>
      <c r="Z21" s="1356"/>
      <c r="AA21" s="1353">
        <v>1</v>
      </c>
      <c r="AB21" s="1353">
        <v>1</v>
      </c>
      <c r="AC21" s="1353">
        <v>1</v>
      </c>
    </row>
    <row r="22" spans="1:29" ht="15.75" thickBot="1">
      <c r="A22" s="358"/>
      <c r="B22" s="579" t="s">
        <v>1835</v>
      </c>
      <c r="C22" s="565" t="s">
        <v>3376</v>
      </c>
      <c r="D22" s="401">
        <v>100</v>
      </c>
      <c r="E22" s="565" t="s">
        <v>3376</v>
      </c>
      <c r="F22" s="412">
        <f>SUMIF(71:71,E22,72:72)-SUMIF(71:71,C22,72:72)+100</f>
        <v>100</v>
      </c>
      <c r="G22" s="565" t="s">
        <v>3376</v>
      </c>
      <c r="H22" s="386">
        <f>SUMIF(71:71,G22,72:72)-SUMIF(71:71,C22,72:72)+100</f>
        <v>100</v>
      </c>
      <c r="I22" s="565" t="s">
        <v>3376</v>
      </c>
      <c r="J22" s="386">
        <f>SUMIF(71:71,I22,72:72)-SUMIF(71:71,C22,72:72)+100</f>
        <v>100</v>
      </c>
      <c r="K22" s="561"/>
      <c r="L22" s="2720"/>
      <c r="M22" s="2714"/>
      <c r="N22" s="2714"/>
      <c r="O22" s="2714"/>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15.75" customHeight="1">
      <c r="A26" s="600" t="s">
        <v>1694</v>
      </c>
      <c r="B26" s="62" t="s">
        <v>1836</v>
      </c>
      <c r="C26" s="1972"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c r="L26" s="2720"/>
      <c r="M26" s="2714"/>
      <c r="N26" s="2714"/>
      <c r="O26" s="2714"/>
      <c r="P26" s="3663"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64" t="s">
        <v>1696</v>
      </c>
      <c r="Z26" s="1356" t="str">
        <f t="shared" ref="Z26:Z36" si="15">Q26</f>
        <v>配套类型</v>
      </c>
      <c r="AA26" s="1353">
        <f t="shared" si="3"/>
        <v>1</v>
      </c>
      <c r="AB26" s="1353">
        <f t="shared" si="4"/>
        <v>1</v>
      </c>
      <c r="AC26" s="1353">
        <f t="shared" si="5"/>
        <v>1</v>
      </c>
    </row>
    <row r="27" spans="1:29" s="422" customFormat="1" ht="15">
      <c r="A27" s="601"/>
      <c r="B27" s="602" t="s">
        <v>1837</v>
      </c>
      <c r="C27" s="603" t="s">
        <v>3412</v>
      </c>
      <c r="D27" s="127">
        <v>100</v>
      </c>
      <c r="E27" s="603" t="s">
        <v>3413</v>
      </c>
      <c r="F27" s="412">
        <f>SUMIF(81:81,E27,82:82)-SUMIF(81:81,C27,82:82)+100</f>
        <v>100</v>
      </c>
      <c r="G27" s="603" t="s">
        <v>3412</v>
      </c>
      <c r="H27" s="386">
        <f>SUMIF(81:81,G27,82:82)-SUMIF(81:81,C27,82:82)+100</f>
        <v>100</v>
      </c>
      <c r="I27" s="603" t="s">
        <v>3411</v>
      </c>
      <c r="J27" s="386">
        <f>SUMIF(81:81,I27,82:82)-SUMIF(81:81,C27,82:82)+100</f>
        <v>100</v>
      </c>
      <c r="K27" s="562"/>
      <c r="L27" s="2719"/>
      <c r="M27" s="2721"/>
      <c r="N27" s="2721"/>
      <c r="O27" s="2721"/>
      <c r="P27" s="3664"/>
      <c r="Q27" s="707" t="str">
        <f t="shared" si="11"/>
        <v>项目停车位配比</v>
      </c>
      <c r="R27" s="708" t="s">
        <v>14</v>
      </c>
      <c r="S27" s="709">
        <f t="shared" si="12"/>
        <v>100</v>
      </c>
      <c r="T27" s="708" t="s">
        <v>14</v>
      </c>
      <c r="U27" s="709">
        <f t="shared" si="13"/>
        <v>100</v>
      </c>
      <c r="V27" s="708" t="s">
        <v>14</v>
      </c>
      <c r="W27" s="709">
        <f t="shared" si="14"/>
        <v>100</v>
      </c>
      <c r="X27" s="710"/>
      <c r="Y27" s="3664"/>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4"/>
      <c r="Q28" s="1352" t="str">
        <f t="shared" si="11"/>
        <v>公共部分装修</v>
      </c>
      <c r="R28" s="705" t="s">
        <v>14</v>
      </c>
      <c r="S28" s="706">
        <f t="shared" si="12"/>
        <v>100</v>
      </c>
      <c r="T28" s="705" t="s">
        <v>14</v>
      </c>
      <c r="U28" s="706">
        <f t="shared" si="13"/>
        <v>100</v>
      </c>
      <c r="V28" s="705" t="s">
        <v>14</v>
      </c>
      <c r="W28" s="706">
        <f t="shared" si="14"/>
        <v>100</v>
      </c>
      <c r="X28" s="1355"/>
      <c r="Y28" s="3664"/>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f>ROUND(1-(2023-E34)/60,2)</f>
        <v>0.87</v>
      </c>
      <c r="F29" s="412">
        <f>LOOKUP(E29,86:86,87:87)-LOOKUP(C29,86:86,87:87)+100</f>
        <v>100</v>
      </c>
      <c r="G29" s="425">
        <f>ROUND(1-(2023-G34)/60,2)</f>
        <v>0.92</v>
      </c>
      <c r="H29" s="412">
        <f>LOOKUP(G29,86:86,87:87)-LOOKUP(C29,86:86,87:87)+100</f>
        <v>101</v>
      </c>
      <c r="I29" s="425">
        <f>ROUND(1-(2023-I34)/60,2)</f>
        <v>0.97</v>
      </c>
      <c r="J29" s="386">
        <f>LOOKUP(I29,86:86,87:87)-LOOKUP(C29,86:86,87:87)+100</f>
        <v>101</v>
      </c>
      <c r="K29" s="561">
        <v>1</v>
      </c>
      <c r="L29" s="2720"/>
      <c r="M29" s="2714"/>
      <c r="N29" s="2714"/>
      <c r="O29" s="2714"/>
      <c r="P29" s="3664"/>
      <c r="Q29" s="1352" t="str">
        <f t="shared" si="11"/>
        <v>成新率</v>
      </c>
      <c r="R29" s="705" t="s">
        <v>14</v>
      </c>
      <c r="S29" s="706">
        <f t="shared" si="12"/>
        <v>100</v>
      </c>
      <c r="T29" s="705" t="s">
        <v>14</v>
      </c>
      <c r="U29" s="706">
        <f t="shared" si="13"/>
        <v>101</v>
      </c>
      <c r="V29" s="705" t="s">
        <v>14</v>
      </c>
      <c r="W29" s="706">
        <f t="shared" si="14"/>
        <v>101</v>
      </c>
      <c r="X29" s="1355"/>
      <c r="Y29" s="3664"/>
      <c r="Z29" s="1356" t="str">
        <f t="shared" si="15"/>
        <v>成新率</v>
      </c>
      <c r="AA29" s="1353">
        <f t="shared" si="3"/>
        <v>1</v>
      </c>
      <c r="AB29" s="1353">
        <f t="shared" si="4"/>
        <v>0.99009900990099009</v>
      </c>
      <c r="AC29" s="1353">
        <f t="shared" si="5"/>
        <v>0.99009900990099009</v>
      </c>
    </row>
    <row r="30" spans="1:29" ht="15">
      <c r="A30" s="604"/>
      <c r="B30" s="602" t="s">
        <v>1840</v>
      </c>
      <c r="C30" s="605" t="s">
        <v>3397</v>
      </c>
      <c r="D30" s="386">
        <v>100</v>
      </c>
      <c r="E30" s="605" t="s">
        <v>3397</v>
      </c>
      <c r="F30" s="412">
        <f>SUMIF(88:88,E30,89:89)-SUMIF(88:88,C30,89:89)+100</f>
        <v>100</v>
      </c>
      <c r="G30" s="605" t="s">
        <v>3397</v>
      </c>
      <c r="H30" s="386">
        <f>SUMIF(88:88,E30,89:89)-SUMIF(88:88,C30,89:89)+100</f>
        <v>100</v>
      </c>
      <c r="I30" s="605" t="s">
        <v>3397</v>
      </c>
      <c r="J30" s="386">
        <f>SUMIF(88:88,E30,89:89)-SUMIF(88:88,C30,89:89)+100</f>
        <v>100</v>
      </c>
      <c r="K30" s="561">
        <v>2</v>
      </c>
      <c r="L30" s="2720"/>
      <c r="M30" s="2714"/>
      <c r="N30" s="2714"/>
      <c r="O30" s="2714"/>
      <c r="P30" s="3664"/>
      <c r="Q30" s="1352" t="str">
        <f t="shared" si="11"/>
        <v>物业等级</v>
      </c>
      <c r="R30" s="705" t="s">
        <v>14</v>
      </c>
      <c r="S30" s="706">
        <f t="shared" si="12"/>
        <v>100</v>
      </c>
      <c r="T30" s="705" t="s">
        <v>14</v>
      </c>
      <c r="U30" s="706">
        <f t="shared" si="13"/>
        <v>100</v>
      </c>
      <c r="V30" s="705" t="s">
        <v>14</v>
      </c>
      <c r="W30" s="706">
        <f t="shared" si="14"/>
        <v>100</v>
      </c>
      <c r="X30" s="1355"/>
      <c r="Y30" s="3664"/>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98</v>
      </c>
      <c r="G31" s="420">
        <v>69.3</v>
      </c>
      <c r="H31" s="386">
        <f>LOOKUP(G31,91:91,92:92)-LOOKUP(C31,91:91,92:92)+100</f>
        <v>100</v>
      </c>
      <c r="I31" s="420">
        <v>32</v>
      </c>
      <c r="J31" s="386">
        <f>LOOKUP(I31,91:91,92:92)-LOOKUP(C31,91:91,92:92)+100</f>
        <v>98</v>
      </c>
      <c r="K31" s="561"/>
      <c r="L31" s="2715"/>
      <c r="M31" s="2716"/>
      <c r="N31" s="2716"/>
      <c r="O31" s="2716"/>
      <c r="P31" s="3664"/>
      <c r="Q31" s="1343" t="str">
        <f t="shared" si="11"/>
        <v>停车位面积</v>
      </c>
      <c r="R31" s="701" t="s">
        <v>14</v>
      </c>
      <c r="S31" s="702">
        <f t="shared" si="12"/>
        <v>98</v>
      </c>
      <c r="T31" s="701" t="s">
        <v>14</v>
      </c>
      <c r="U31" s="702">
        <f t="shared" si="13"/>
        <v>100</v>
      </c>
      <c r="V31" s="701" t="s">
        <v>14</v>
      </c>
      <c r="W31" s="702">
        <f t="shared" si="14"/>
        <v>98</v>
      </c>
      <c r="X31" s="703"/>
      <c r="Y31" s="3664"/>
      <c r="Z31" s="52" t="str">
        <f t="shared" si="15"/>
        <v>停车位面积</v>
      </c>
      <c r="AA31" s="704">
        <f t="shared" si="3"/>
        <v>1.0204081632653061</v>
      </c>
      <c r="AB31" s="704">
        <f t="shared" si="4"/>
        <v>1</v>
      </c>
      <c r="AC31" s="704">
        <f t="shared" si="5"/>
        <v>1.0204081632653061</v>
      </c>
    </row>
    <row r="32" spans="1:29" ht="15">
      <c r="A32" s="604"/>
      <c r="B32" s="602" t="s">
        <v>1842</v>
      </c>
      <c r="C32" s="411" t="s">
        <v>3400</v>
      </c>
      <c r="D32" s="386">
        <v>100</v>
      </c>
      <c r="E32" s="411" t="s">
        <v>3400</v>
      </c>
      <c r="F32" s="412">
        <f>SUMIF(93:93,E32,94:94)-SUMIF(93:93,C32,94:94)+100</f>
        <v>100</v>
      </c>
      <c r="G32" s="411" t="s">
        <v>3400</v>
      </c>
      <c r="H32" s="386">
        <f>SUMIF(93:93,G32,94:94)-SUMIF(93:93,C32,94:94)+100</f>
        <v>100</v>
      </c>
      <c r="I32" s="411" t="s">
        <v>3400</v>
      </c>
      <c r="J32" s="386">
        <f>SUMIF(93:93,I32,94:94)-SUMIF(93:93,C32,94:94)+100</f>
        <v>100</v>
      </c>
      <c r="K32" s="561">
        <v>2</v>
      </c>
      <c r="L32" s="2720"/>
      <c r="M32" s="2714"/>
      <c r="N32" s="2714"/>
      <c r="O32" s="2714"/>
      <c r="P32" s="3664" t="s">
        <v>1696</v>
      </c>
      <c r="Q32" s="1352" t="str">
        <f t="shared" si="11"/>
        <v>车位类型</v>
      </c>
      <c r="R32" s="705" t="s">
        <v>14</v>
      </c>
      <c r="S32" s="706">
        <f t="shared" si="12"/>
        <v>100</v>
      </c>
      <c r="T32" s="705" t="s">
        <v>14</v>
      </c>
      <c r="U32" s="706">
        <f t="shared" si="13"/>
        <v>100</v>
      </c>
      <c r="V32" s="705" t="s">
        <v>14</v>
      </c>
      <c r="W32" s="706">
        <f t="shared" si="14"/>
        <v>100</v>
      </c>
      <c r="X32" s="1355"/>
      <c r="Y32" s="366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4"/>
      <c r="Q33" s="1352" t="str">
        <f t="shared" si="11"/>
        <v>是否直接入户</v>
      </c>
      <c r="R33" s="705" t="s">
        <v>14</v>
      </c>
      <c r="S33" s="706">
        <f t="shared" si="12"/>
        <v>100</v>
      </c>
      <c r="T33" s="705" t="s">
        <v>14</v>
      </c>
      <c r="U33" s="706">
        <f t="shared" si="13"/>
        <v>100</v>
      </c>
      <c r="V33" s="705" t="s">
        <v>14</v>
      </c>
      <c r="W33" s="706">
        <f t="shared" si="14"/>
        <v>100</v>
      </c>
      <c r="X33" s="1355"/>
      <c r="Y33" s="3664"/>
      <c r="Z33" s="1356" t="str">
        <f t="shared" si="15"/>
        <v>是否直接入户</v>
      </c>
      <c r="AA33" s="1353">
        <f t="shared" si="3"/>
        <v>1</v>
      </c>
      <c r="AB33" s="1353">
        <f t="shared" si="4"/>
        <v>1</v>
      </c>
      <c r="AC33" s="1353">
        <f t="shared" si="5"/>
        <v>1</v>
      </c>
    </row>
    <row r="34" spans="1:29" ht="15">
      <c r="A34" s="604"/>
      <c r="B34" s="596">
        <v>111</v>
      </c>
      <c r="C34" s="383"/>
      <c r="D34" s="386">
        <v>100</v>
      </c>
      <c r="E34" s="383">
        <v>2015</v>
      </c>
      <c r="F34" s="412">
        <f>SUMIF(97:97,E34,98:98)-SUMIF(97:97,C34,98:98)+100</f>
        <v>100</v>
      </c>
      <c r="G34" s="383">
        <v>2018</v>
      </c>
      <c r="H34" s="386">
        <f>SUMIF(97:97,G34,98:98)-SUMIF(97:97,C34,98:98)+100</f>
        <v>100</v>
      </c>
      <c r="I34" s="383">
        <v>2021</v>
      </c>
      <c r="J34" s="386">
        <f>SUMIF(97:97,I34,98:98)-SUMIF(97:97,C34,98:98)+100</f>
        <v>100</v>
      </c>
      <c r="K34" s="562"/>
      <c r="L34" s="2720"/>
      <c r="M34" s="2714"/>
      <c r="N34" s="2714"/>
      <c r="O34" s="2714"/>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4"/>
      <c r="Q35" s="707">
        <f t="shared" si="11"/>
        <v>111</v>
      </c>
      <c r="R35" s="708" t="s">
        <v>14</v>
      </c>
      <c r="S35" s="709">
        <f t="shared" si="12"/>
        <v>100</v>
      </c>
      <c r="T35" s="708" t="s">
        <v>14</v>
      </c>
      <c r="U35" s="709">
        <f t="shared" si="13"/>
        <v>100</v>
      </c>
      <c r="V35" s="708" t="s">
        <v>14</v>
      </c>
      <c r="W35" s="709">
        <f t="shared" si="14"/>
        <v>100</v>
      </c>
      <c r="X35" s="710"/>
      <c r="Y35" s="366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4"/>
      <c r="Q36" s="1352">
        <f t="shared" si="11"/>
        <v>111</v>
      </c>
      <c r="R36" s="705" t="s">
        <v>14</v>
      </c>
      <c r="S36" s="706">
        <f t="shared" si="12"/>
        <v>100</v>
      </c>
      <c r="T36" s="705" t="s">
        <v>14</v>
      </c>
      <c r="U36" s="706">
        <f t="shared" si="13"/>
        <v>100</v>
      </c>
      <c r="V36" s="705" t="s">
        <v>14</v>
      </c>
      <c r="W36" s="706">
        <f t="shared" si="14"/>
        <v>100</v>
      </c>
      <c r="X36" s="1355"/>
      <c r="Y36" s="3664"/>
      <c r="Z36" s="1356">
        <f t="shared" si="15"/>
        <v>111</v>
      </c>
      <c r="AA36" s="1353">
        <f t="shared" si="3"/>
        <v>1</v>
      </c>
      <c r="AB36" s="1353">
        <f t="shared" si="4"/>
        <v>1</v>
      </c>
      <c r="AC36" s="1353">
        <f t="shared" si="5"/>
        <v>1</v>
      </c>
    </row>
    <row r="37" spans="1:29" ht="15">
      <c r="A37" s="430" t="s">
        <v>1844</v>
      </c>
      <c r="B37" s="1973" t="s">
        <v>3403</v>
      </c>
      <c r="C37" s="1154" t="s">
        <v>0</v>
      </c>
      <c r="D37" s="1155"/>
      <c r="E37" s="1156">
        <v>230000</v>
      </c>
      <c r="F37" s="1157"/>
      <c r="G37" s="1158">
        <v>230000</v>
      </c>
      <c r="H37" s="1159"/>
      <c r="I37" s="1156">
        <v>239100</v>
      </c>
      <c r="J37" s="1159"/>
      <c r="K37" s="568"/>
      <c r="L37" s="2722"/>
      <c r="M37" s="2723"/>
      <c r="N37" s="2714"/>
      <c r="O37" s="2723"/>
      <c r="P37" s="3656" t="str">
        <f>A37</f>
        <v>成交单价</v>
      </c>
      <c r="Q37" s="3656"/>
      <c r="R37" s="3657">
        <f>E37</f>
        <v>230000</v>
      </c>
      <c r="S37" s="3657"/>
      <c r="T37" s="3657">
        <f>G37</f>
        <v>230000</v>
      </c>
      <c r="U37" s="3657"/>
      <c r="V37" s="3657">
        <f>I37</f>
        <v>239100</v>
      </c>
      <c r="W37" s="3657"/>
      <c r="X37" s="690"/>
      <c r="Y37" s="712"/>
      <c r="Z37" s="690"/>
      <c r="AA37" s="690"/>
      <c r="AB37" s="690"/>
      <c r="AC37" s="690"/>
    </row>
    <row r="38" spans="1:29" ht="15.75" thickBot="1">
      <c r="A38" s="437" t="s">
        <v>1845</v>
      </c>
      <c r="B38" s="438" t="str">
        <f>B37</f>
        <v>元/车位</v>
      </c>
      <c r="C38" s="1160">
        <f>R39</f>
        <v>234660</v>
      </c>
      <c r="D38" s="2317" t="s">
        <v>2138</v>
      </c>
      <c r="E38" s="1161">
        <f>R38</f>
        <v>234694</v>
      </c>
      <c r="F38" s="2318"/>
      <c r="G38" s="1160">
        <f>T38</f>
        <v>227723</v>
      </c>
      <c r="H38" s="2318"/>
      <c r="I38" s="1161">
        <f>V38</f>
        <v>241564</v>
      </c>
      <c r="J38" s="2318"/>
      <c r="K38" s="2320">
        <f>F38+H38+J38</f>
        <v>0</v>
      </c>
      <c r="L38" s="2722"/>
      <c r="M38" s="2723"/>
      <c r="N38" s="2723"/>
      <c r="O38" s="2723"/>
      <c r="P38" s="3656" t="str">
        <f>A38</f>
        <v>比较价值（元/平方米）</v>
      </c>
      <c r="Q38" s="3656"/>
      <c r="R38" s="3657">
        <f>IF(F1="售价",ROUND(PRODUCT(R37,AA7:AA36),0),ROUND(PRODUCT(R37,AA7:AA36),1))</f>
        <v>234694</v>
      </c>
      <c r="S38" s="3657"/>
      <c r="T38" s="3657">
        <f>IF(F1="售价",ROUND(PRODUCT(T37,AB7:AB36),0),ROUND(PRODUCT(T37,AB7:AB36),1))</f>
        <v>227723</v>
      </c>
      <c r="U38" s="3657"/>
      <c r="V38" s="3657">
        <f>IF(F1="售价",ROUND(PRODUCT(V37,AC7:AC36),0),ROUND(PRODUCT(V37,AC7:AC36),1))</f>
        <v>241564</v>
      </c>
      <c r="W38" s="3657"/>
      <c r="X38" s="690"/>
      <c r="Y38" s="690"/>
      <c r="Z38" s="690"/>
      <c r="AA38" s="690"/>
      <c r="AB38" s="690"/>
      <c r="AC38" s="690"/>
    </row>
    <row r="39" spans="1:29" ht="15.75" thickBot="1">
      <c r="A39" s="441" t="s">
        <v>1846</v>
      </c>
      <c r="B39" s="442"/>
      <c r="C39" s="1163">
        <f>R39</f>
        <v>234660</v>
      </c>
      <c r="D39" s="1163"/>
      <c r="E39" s="1163"/>
      <c r="F39" s="1163"/>
      <c r="G39" s="1163"/>
      <c r="H39" s="1163"/>
      <c r="I39" s="1163"/>
      <c r="J39" s="1163"/>
      <c r="K39" s="569"/>
      <c r="L39" s="2722"/>
      <c r="M39" s="2723"/>
      <c r="N39" s="2723"/>
      <c r="O39" s="2723"/>
      <c r="P39" s="3658" t="str">
        <f>A39</f>
        <v>估价对象XX用房的比较价值（楼面单价，元/平方米）</v>
      </c>
      <c r="Q39" s="3659"/>
      <c r="R39" s="3660">
        <f>IF(F1="售价",ROUND(IF(D38="简单平均",AVERAGE(R38:W38),R38*F38+T38*H38+V38*J38),0),ROUND(IF(D38="简单平均",AVERAGE(R38:V38),R38*F38+T38*H38+V38*J38),1))</f>
        <v>234660</v>
      </c>
      <c r="S39" s="3660"/>
      <c r="T39" s="3660"/>
      <c r="U39" s="3660"/>
      <c r="V39" s="3660"/>
      <c r="W39" s="366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2.0408695652173847E-2</v>
      </c>
      <c r="F42" s="449" t="str">
        <f>IF(OR(E42&gt;=0.3,E42&lt;=-0.3),"超过30%","")</f>
        <v/>
      </c>
      <c r="G42" s="448">
        <f>IF(G37&lt;G38,G38/G37-1,G37/G38-1)</f>
        <v>9.9989900010100108E-3</v>
      </c>
      <c r="H42" s="449" t="str">
        <f>IF(OR(G42&gt;=0.3,G42&lt;=-0.3),"超过30%","")</f>
        <v/>
      </c>
      <c r="I42" s="448">
        <f>IF(I37&lt;I38,I38/I37-1,I37/I38-1)</f>
        <v>1.0305311585110832E-2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3.0611751996943548E-2</v>
      </c>
      <c r="F43" s="449" t="str">
        <f>IF(OR(E43&gt;=0.2,E43&lt;=-0.2),"超过20%","")</f>
        <v/>
      </c>
      <c r="G43" s="448">
        <f>IF(G38&lt;I38,I38/G38-1,G38/I38-1)</f>
        <v>6.0779982698278223E-2</v>
      </c>
      <c r="H43" s="449" t="str">
        <f>IF(OR(G43&gt;=0.2,G43&lt;=-0.2),"超过20%","")</f>
        <v/>
      </c>
      <c r="I43" s="448">
        <f>IF(I38&lt;E38,E38/I38-1,I38/E38-1)</f>
        <v>2.9272158640612833E-2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3.9565217391304364E-2</v>
      </c>
      <c r="H44" s="449" t="str">
        <f>IF(OR(G44&gt;=0.3,G44&lt;=-0.3),"超过30%","")</f>
        <v/>
      </c>
      <c r="I44" s="448">
        <f>IF(I37&lt;E37,E37/I37-1,I37/E37-1)</f>
        <v>3.9565217391304364E-2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99</v>
      </c>
      <c r="E68" s="493">
        <f>D68-$K18</f>
        <v>98</v>
      </c>
      <c r="F68" s="493">
        <f>E68-$K18</f>
        <v>97</v>
      </c>
      <c r="G68" s="493">
        <f>F68-$K18</f>
        <v>96</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98</v>
      </c>
      <c r="E70" s="493">
        <f>D70-$K20</f>
        <v>96</v>
      </c>
      <c r="F70" s="493">
        <f>E70-$K20</f>
        <v>94</v>
      </c>
      <c r="G70" s="493">
        <f>F70-$K20</f>
        <v>92</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3393</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3394</v>
      </c>
      <c r="D81" s="609" t="s">
        <v>3425</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509">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3395</v>
      </c>
      <c r="D83" s="3458" t="s">
        <v>3396</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9" t="s">
        <v>3398</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0(含)-40</v>
      </c>
      <c r="D90" s="527" t="str">
        <f t="shared" ref="D90:L90" si="21">D91&amp;"(含)"&amp;"-"&amp;E91</f>
        <v>40(含)-80</v>
      </c>
      <c r="E90" s="527" t="str">
        <f t="shared" si="21"/>
        <v>80(含)-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40</v>
      </c>
      <c r="E91" s="544">
        <v>80</v>
      </c>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f>C92+2</f>
        <v>102</v>
      </c>
      <c r="E92" s="509">
        <f>D92+2</f>
        <v>104</v>
      </c>
      <c r="F92" s="509"/>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3399</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40" sqref="C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9.5157000000000007</v>
      </c>
      <c r="C2" s="1387" t="s">
        <v>879</v>
      </c>
      <c r="D2" s="1471">
        <f ca="1">C40+J29+L46</f>
        <v>95157</v>
      </c>
      <c r="E2" s="1388" t="s">
        <v>880</v>
      </c>
      <c r="F2" s="1389"/>
      <c r="G2" s="2704"/>
      <c r="H2" s="2693"/>
      <c r="I2" s="2693"/>
      <c r="J2" s="2693"/>
      <c r="K2" s="2694"/>
      <c r="L2" s="2693"/>
      <c r="M2" s="2693"/>
    </row>
    <row r="3" spans="1:37" ht="18" customHeight="1" thickBot="1">
      <c r="A3" s="1390" t="s">
        <v>881</v>
      </c>
      <c r="B3" s="1391">
        <f ca="1">IF(ISERROR(D2/F43),0,ROUND(D2/F43,0))</f>
        <v>1586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6480</v>
      </c>
      <c r="D6" s="155" t="s">
        <v>2106</v>
      </c>
      <c r="E6" s="302" t="s">
        <v>696</v>
      </c>
      <c r="F6" s="303">
        <f ca="1">INDIRECT("'数据-取费表'!u"&amp;$G$1)</f>
        <v>600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v>
      </c>
      <c r="G7" s="1384"/>
      <c r="H7" s="304"/>
      <c r="I7" s="3654"/>
      <c r="J7" s="306"/>
      <c r="K7" s="307"/>
      <c r="L7" s="302" t="s">
        <v>697</v>
      </c>
      <c r="M7" s="303">
        <f ca="1">F7</f>
        <v>1</v>
      </c>
    </row>
    <row r="8" spans="1:37" ht="18" customHeight="1">
      <c r="A8" s="304"/>
      <c r="B8" s="3654"/>
      <c r="C8" s="306"/>
      <c r="D8" s="307"/>
      <c r="E8" s="302" t="s">
        <v>698</v>
      </c>
      <c r="F8" s="303">
        <f ca="1">INDIRECT("'数据-取费表'!ai"&amp;$G$1)</f>
        <v>12</v>
      </c>
      <c r="G8" s="1384"/>
      <c r="H8" s="304"/>
      <c r="I8" s="3654"/>
      <c r="J8" s="306"/>
      <c r="K8" s="307"/>
      <c r="L8" s="302" t="s">
        <v>698</v>
      </c>
      <c r="M8" s="303">
        <f ca="1">INDIRECT("'数据-取费表'!ai"&amp;$G$1)</f>
        <v>12</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232258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209930</v>
      </c>
      <c r="D14" s="1345" t="s">
        <v>708</v>
      </c>
      <c r="E14" s="1342"/>
      <c r="F14" s="319"/>
      <c r="G14" s="1384"/>
      <c r="H14" s="982" t="s">
        <v>398</v>
      </c>
      <c r="I14" s="302" t="s">
        <v>709</v>
      </c>
      <c r="J14" s="21">
        <f ca="1">C29</f>
        <v>279829</v>
      </c>
      <c r="K14" s="12"/>
      <c r="L14" s="807"/>
      <c r="M14" s="808"/>
    </row>
    <row r="15" spans="1:37" s="1397" customFormat="1" ht="18" customHeight="1" thickBot="1">
      <c r="A15" s="982" t="s">
        <v>399</v>
      </c>
      <c r="B15" s="302" t="s">
        <v>710</v>
      </c>
      <c r="C15" s="21">
        <f ca="1">ROUND(C14*F15,0)</f>
        <v>6298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2239</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231373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4627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464">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-2239</v>
      </c>
      <c r="K25" s="1095" t="s">
        <v>753</v>
      </c>
      <c r="L25" s="1096"/>
      <c r="M25" s="1097"/>
    </row>
    <row r="26" spans="1:37" ht="18" customHeight="1">
      <c r="A26" s="982" t="s">
        <v>397</v>
      </c>
      <c r="B26" s="302" t="s">
        <v>754</v>
      </c>
      <c r="C26" s="21">
        <f ca="1">ROUND((C19+C20)*F26,0)</f>
        <v>11800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279829</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2909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2239</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186</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3571</v>
      </c>
      <c r="D39" s="1095" t="s">
        <v>773</v>
      </c>
      <c r="E39" s="1096"/>
      <c r="F39" s="1097"/>
      <c r="G39" s="1384"/>
      <c r="H39" s="2698"/>
      <c r="I39" s="1398"/>
      <c r="J39" s="1399"/>
      <c r="K39" s="2702"/>
      <c r="L39" s="2698"/>
      <c r="M39" s="2698"/>
    </row>
    <row r="40" spans="1:18" ht="18" customHeight="1">
      <c r="A40" s="299" t="s">
        <v>395</v>
      </c>
      <c r="B40" s="300" t="s">
        <v>774</v>
      </c>
      <c r="C40" s="301">
        <f ca="1">ROUND(C39*(1-((1+F42)/(1+F40))^F41)/(F40-F42),0)</f>
        <v>84018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1401</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-12.7165</v>
      </c>
      <c r="D45" s="3430" t="s">
        <v>3349</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11139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84018</v>
      </c>
      <c r="R47" s="1420" t="s">
        <v>818</v>
      </c>
    </row>
    <row r="48" spans="1:18" s="1384" customFormat="1" ht="28.5" thickBot="1">
      <c r="A48" s="1110" t="s">
        <v>438</v>
      </c>
      <c r="B48" s="300" t="s">
        <v>692</v>
      </c>
      <c r="C48" s="1359">
        <f ca="1">C49+C53+C55</f>
        <v>0</v>
      </c>
      <c r="D48" s="1112"/>
      <c r="E48" s="1113"/>
      <c r="F48" s="962"/>
      <c r="G48" s="722"/>
      <c r="H48" s="723"/>
      <c r="I48" s="1421" t="s">
        <v>819</v>
      </c>
      <c r="J48" s="1422" t="s">
        <v>3415</v>
      </c>
      <c r="K48" s="1423" t="s">
        <v>820</v>
      </c>
      <c r="L48" s="1424">
        <f ca="1">INDIRECT("'数据-取费表'!f"&amp;$G$1)</f>
        <v>36.64</v>
      </c>
      <c r="O48" s="1418" t="s">
        <v>404</v>
      </c>
      <c r="P48" s="1419" t="s">
        <v>821</v>
      </c>
      <c r="Q48" s="1420">
        <f ca="1">J60</f>
        <v>11139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279829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-197705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1" t="s">
        <v>837</v>
      </c>
      <c r="L53" s="3652"/>
      <c r="O53" s="1418" t="s">
        <v>409</v>
      </c>
      <c r="P53" s="1419" t="s">
        <v>838</v>
      </c>
      <c r="Q53" s="1420">
        <f ca="1">Q47+Q48</f>
        <v>95157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232258</v>
      </c>
      <c r="D56" s="1447"/>
      <c r="E56" s="1448"/>
      <c r="F56" s="1440"/>
      <c r="I56" s="1449" t="s">
        <v>842</v>
      </c>
      <c r="J56" s="1450" t="s">
        <v>3416</v>
      </c>
      <c r="K56" s="1421" t="s">
        <v>843</v>
      </c>
      <c r="L56" s="1424" t="str">
        <f ca="1">IF(L48&lt;J51,"——",L48-J51)</f>
        <v>——</v>
      </c>
      <c r="O56" s="1418" t="s">
        <v>403</v>
      </c>
      <c r="P56" s="1419" t="s">
        <v>817</v>
      </c>
      <c r="Q56" s="1420">
        <f ca="1">C40+J29</f>
        <v>84018</v>
      </c>
      <c r="R56" s="1420" t="s">
        <v>818</v>
      </c>
    </row>
    <row r="57" spans="1:18" s="1384" customFormat="1" ht="24.75" thickBot="1">
      <c r="A57" s="1451"/>
      <c r="B57" s="950" t="s">
        <v>767</v>
      </c>
      <c r="C57" s="238">
        <f ca="1">C29</f>
        <v>279829</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111932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84018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84018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-2425</v>
      </c>
      <c r="D67" s="963" t="s">
        <v>753</v>
      </c>
      <c r="E67" s="968"/>
      <c r="F67" s="969"/>
      <c r="O67" s="1428" t="s">
        <v>405</v>
      </c>
      <c r="P67" s="1419" t="s">
        <v>850</v>
      </c>
      <c r="Q67" s="1466">
        <f ca="1">L51</f>
        <v>-197705</v>
      </c>
      <c r="R67" s="1420" t="s">
        <v>870</v>
      </c>
    </row>
    <row r="68" spans="1:18" s="1384" customFormat="1" ht="16.5" thickBot="1">
      <c r="A68" s="947" t="s">
        <v>395</v>
      </c>
      <c r="B68" s="948" t="s">
        <v>774</v>
      </c>
      <c r="C68" s="301">
        <f ca="1">ROUND(C67*(1-((1+F70)/(1+F68))^F69)/(F68-F70),0)</f>
        <v>-43147</v>
      </c>
      <c r="D68" s="965" t="s">
        <v>758</v>
      </c>
      <c r="E68" s="950" t="s">
        <v>759</v>
      </c>
      <c r="F68" s="312">
        <f ca="1">F40</f>
        <v>4.4999999999999998E-2</v>
      </c>
      <c r="O68" s="1428" t="s">
        <v>406</v>
      </c>
      <c r="P68" s="1467" t="s">
        <v>871</v>
      </c>
      <c r="Q68" s="1420">
        <f ca="1">ROUND(Q69-Q70*Q71,0)</f>
        <v>-9203</v>
      </c>
      <c r="R68" s="1420" t="s">
        <v>414</v>
      </c>
    </row>
    <row r="69" spans="1:18" s="1384" customFormat="1" ht="13.5" thickBot="1">
      <c r="A69" s="951"/>
      <c r="B69" s="952"/>
      <c r="C69" s="306"/>
      <c r="D69" s="970" t="s">
        <v>762</v>
      </c>
      <c r="E69" s="950" t="s">
        <v>763</v>
      </c>
      <c r="F69" s="333">
        <f ca="1">F41</f>
        <v>36.64</v>
      </c>
      <c r="O69" s="1428" t="s">
        <v>411</v>
      </c>
      <c r="P69" s="1467" t="s">
        <v>872</v>
      </c>
      <c r="Q69" s="1420">
        <f ca="1">C39</f>
        <v>3571</v>
      </c>
      <c r="R69" s="1420" t="s">
        <v>818</v>
      </c>
    </row>
    <row r="70" spans="1:18" s="1384" customFormat="1" ht="13.5" thickBot="1">
      <c r="A70" s="954"/>
      <c r="B70" s="955"/>
      <c r="C70" s="310"/>
      <c r="D70" s="966"/>
      <c r="E70" s="950" t="s">
        <v>766</v>
      </c>
      <c r="F70" s="1054"/>
      <c r="O70" s="1428" t="s">
        <v>412</v>
      </c>
      <c r="P70" s="1467" t="s">
        <v>873</v>
      </c>
      <c r="Q70" s="1420">
        <f ca="1">C13</f>
        <v>232258</v>
      </c>
      <c r="R70" s="1420" t="s">
        <v>818</v>
      </c>
    </row>
    <row r="71" spans="1:18" s="1384" customFormat="1" ht="13.5" thickBot="1">
      <c r="A71" s="971" t="s">
        <v>396</v>
      </c>
      <c r="B71" s="972" t="s">
        <v>776</v>
      </c>
      <c r="C71" s="336">
        <f ca="1">ROUND(C68/F71,0)</f>
        <v>-719</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12774</v>
      </c>
      <c r="D75" s="1384"/>
      <c r="E75" s="1384"/>
      <c r="F75" s="1384"/>
      <c r="K75" s="1402"/>
      <c r="L75" s="1384"/>
      <c r="O75" s="1418" t="s">
        <v>409</v>
      </c>
      <c r="P75" s="1419" t="s">
        <v>838</v>
      </c>
      <c r="Q75" s="1420">
        <f ca="1">Q65+Q66</f>
        <v>84018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-2.577</v>
      </c>
    </row>
    <row r="80" spans="1:18">
      <c r="B80" s="340" t="s">
        <v>800</v>
      </c>
      <c r="C80" s="274">
        <f ca="1">ROUND(C75/C39,3)</f>
        <v>3.577</v>
      </c>
    </row>
    <row r="81" spans="2:3">
      <c r="B81" s="270" t="s">
        <v>801</v>
      </c>
      <c r="C81" s="238"/>
    </row>
    <row r="82" spans="2:3">
      <c r="B82" s="273" t="s">
        <v>802</v>
      </c>
      <c r="C82" s="275">
        <f ca="1">1-C83</f>
        <v>-1.7639999999999998</v>
      </c>
    </row>
    <row r="83" spans="2:3">
      <c r="B83" s="273" t="s">
        <v>803</v>
      </c>
      <c r="C83" s="274">
        <f ca="1">ROUND(C13/C40,3)</f>
        <v>2.7639999999999998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1" t="s">
        <v>3354</v>
      </c>
      <c r="E2" s="3442"/>
      <c r="F2" s="2844"/>
      <c r="G2" s="2845"/>
      <c r="H2" s="2846"/>
      <c r="I2" s="2847"/>
      <c r="J2" s="3702" t="s">
        <v>2311</v>
      </c>
      <c r="K2" s="3703"/>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4" t="s">
        <v>2321</v>
      </c>
      <c r="K3" s="3705"/>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4" t="s">
        <v>2323</v>
      </c>
      <c r="K4" s="3705"/>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10" t="s">
        <v>2327</v>
      </c>
      <c r="B6" s="3711"/>
      <c r="C6" s="3712"/>
      <c r="D6" s="2868"/>
      <c r="E6" s="2869"/>
      <c r="F6" s="2870"/>
      <c r="G6" s="2871"/>
      <c r="H6" s="2846"/>
      <c r="I6" s="2847"/>
      <c r="J6" s="3696">
        <v>1</v>
      </c>
      <c r="K6" s="3697"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696"/>
      <c r="K7" s="3698"/>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13" t="s">
        <v>2341</v>
      </c>
      <c r="C8" s="3714"/>
      <c r="D8" s="2887" t="s">
        <v>2342</v>
      </c>
      <c r="E8" s="2888" t="s">
        <v>2343</v>
      </c>
      <c r="F8" s="2889" t="s">
        <v>2344</v>
      </c>
      <c r="G8" s="2890"/>
      <c r="H8" s="2846"/>
      <c r="I8" s="2847"/>
      <c r="J8" s="3696"/>
      <c r="K8" s="3698"/>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13" t="s">
        <v>2347</v>
      </c>
      <c r="C9" s="3714"/>
      <c r="D9" s="2887">
        <f>ROUND(D6*E9,0)</f>
        <v>0</v>
      </c>
      <c r="E9" s="2891"/>
      <c r="F9" s="2892" t="s">
        <v>2348</v>
      </c>
      <c r="G9" s="2871"/>
      <c r="H9" s="2846"/>
      <c r="I9" s="2847"/>
      <c r="J9" s="3696"/>
      <c r="K9" s="3698"/>
      <c r="L9" s="2881" t="s">
        <v>2349</v>
      </c>
      <c r="M9" s="2882"/>
      <c r="N9" s="2858"/>
      <c r="O9" s="2883"/>
      <c r="P9" s="2883"/>
      <c r="Q9" s="2884">
        <v>365</v>
      </c>
      <c r="R9" s="2885">
        <f t="shared" si="0"/>
        <v>0</v>
      </c>
      <c r="S9" s="2839"/>
      <c r="T9" s="2839"/>
      <c r="U9" s="2839"/>
      <c r="V9" s="2847"/>
    </row>
    <row r="10" spans="1:22" s="2851" customFormat="1" ht="13.15" customHeight="1">
      <c r="A10" s="2886">
        <v>2</v>
      </c>
      <c r="B10" s="3713" t="s">
        <v>2350</v>
      </c>
      <c r="C10" s="3714"/>
      <c r="D10" s="2887">
        <f>ROUND(D6*E10,0)</f>
        <v>0</v>
      </c>
      <c r="E10" s="2891"/>
      <c r="F10" s="2892" t="s">
        <v>2351</v>
      </c>
      <c r="G10" s="2871"/>
      <c r="H10" s="2846"/>
      <c r="I10" s="2847"/>
      <c r="J10" s="3696"/>
      <c r="K10" s="3698"/>
      <c r="L10" s="2881" t="s">
        <v>2352</v>
      </c>
      <c r="M10" s="2882"/>
      <c r="N10" s="2858"/>
      <c r="O10" s="2883"/>
      <c r="P10" s="2883"/>
      <c r="Q10" s="2884">
        <v>365</v>
      </c>
      <c r="R10" s="2885">
        <f t="shared" si="0"/>
        <v>0</v>
      </c>
      <c r="S10" s="2839"/>
      <c r="T10" s="2839"/>
      <c r="U10" s="2839"/>
      <c r="V10" s="2847"/>
    </row>
    <row r="11" spans="1:22" s="2851" customFormat="1" ht="13.15" customHeight="1">
      <c r="A11" s="2886">
        <v>3</v>
      </c>
      <c r="B11" s="3713" t="s">
        <v>2353</v>
      </c>
      <c r="C11" s="3714"/>
      <c r="D11" s="2887">
        <f>D12+D14+D15+D16</f>
        <v>0</v>
      </c>
      <c r="E11" s="2893" t="e">
        <f>D11/D6</f>
        <v>#DIV/0!</v>
      </c>
      <c r="F11" s="2889"/>
      <c r="G11" s="2890"/>
      <c r="H11" s="2846"/>
      <c r="I11" s="2847"/>
      <c r="J11" s="3696"/>
      <c r="K11" s="3698"/>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06" t="s">
        <v>2356</v>
      </c>
      <c r="C12" s="3707"/>
      <c r="D12" s="2895">
        <f>ROUND(D13*1.2%*(1-30%),0)</f>
        <v>0</v>
      </c>
      <c r="E12" s="2896">
        <v>1.2E-2</v>
      </c>
      <c r="F12" s="2889" t="s">
        <v>2357</v>
      </c>
      <c r="G12" s="2890"/>
      <c r="H12" s="2846"/>
      <c r="I12" s="2847"/>
      <c r="J12" s="3696"/>
      <c r="K12" s="3698"/>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696"/>
      <c r="K13" s="3698"/>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06" t="s">
        <v>2362</v>
      </c>
      <c r="C14" s="3707"/>
      <c r="D14" s="2895">
        <f>ROUND(E14*B5/10000,0)</f>
        <v>0</v>
      </c>
      <c r="E14" s="2884"/>
      <c r="F14" s="2889" t="s">
        <v>2363</v>
      </c>
      <c r="G14" s="2890"/>
      <c r="H14" s="2846"/>
      <c r="I14" s="2847"/>
      <c r="J14" s="3696"/>
      <c r="K14" s="3699"/>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06" t="s">
        <v>2366</v>
      </c>
      <c r="C15" s="3707"/>
      <c r="D15" s="2895">
        <f>ROUND(D6*E15,0)</f>
        <v>0</v>
      </c>
      <c r="E15" s="2896">
        <v>5.5E-2</v>
      </c>
      <c r="F15" s="2889" t="s">
        <v>2367</v>
      </c>
      <c r="G15" s="2871"/>
      <c r="H15" s="2846"/>
      <c r="I15" s="2847"/>
      <c r="J15" s="3696">
        <v>2</v>
      </c>
      <c r="K15" s="3697"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06" t="s">
        <v>2375</v>
      </c>
      <c r="C16" s="3707"/>
      <c r="D16" s="2906">
        <f>D6*E16</f>
        <v>0</v>
      </c>
      <c r="E16" s="2907"/>
      <c r="F16" s="2892" t="s">
        <v>2376</v>
      </c>
      <c r="G16" s="2871"/>
      <c r="H16" s="2846"/>
      <c r="I16" s="2847"/>
      <c r="J16" s="3696"/>
      <c r="K16" s="3698"/>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08" t="s">
        <v>2378</v>
      </c>
      <c r="C17" s="3709"/>
      <c r="D17" s="2909">
        <f>ROUND(D6*E17,0)</f>
        <v>0</v>
      </c>
      <c r="E17" s="2910"/>
      <c r="F17" s="2911" t="s">
        <v>2379</v>
      </c>
      <c r="G17" s="2871"/>
      <c r="H17" s="2846"/>
      <c r="I17" s="2847"/>
      <c r="J17" s="3696"/>
      <c r="K17" s="3698"/>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696"/>
      <c r="K18" s="3698"/>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696"/>
      <c r="K19" s="3699"/>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6">
        <v>3</v>
      </c>
      <c r="K20" s="3697"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696"/>
      <c r="K21" s="3698"/>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696"/>
      <c r="K22" s="3698"/>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696"/>
      <c r="K23" s="3698"/>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696"/>
      <c r="K24" s="3699"/>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00">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0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2" t="s">
        <v>2311</v>
      </c>
      <c r="K32" s="3703"/>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4" t="s">
        <v>2321</v>
      </c>
      <c r="K33" s="3705"/>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4" t="s">
        <v>2323</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696">
        <v>1</v>
      </c>
      <c r="K36" s="3697"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696"/>
      <c r="K37" s="3698"/>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6"/>
      <c r="K38" s="3698"/>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696"/>
      <c r="K39" s="3698"/>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696"/>
      <c r="K40" s="3699"/>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0">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0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9.5157000000000007</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1586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5" t="s">
        <v>1654</v>
      </c>
      <c r="C5" s="371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9.5157000000000007</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3"/>
      <c r="M4" s="2714"/>
      <c r="N4" s="2714"/>
      <c r="O4" s="2714"/>
      <c r="P4" s="3672" t="s">
        <v>1672</v>
      </c>
      <c r="Q4" s="3673"/>
      <c r="R4" s="3678" t="s">
        <v>1668</v>
      </c>
      <c r="S4" s="3679"/>
      <c r="T4" s="3678" t="s">
        <v>1669</v>
      </c>
      <c r="U4" s="3679"/>
      <c r="V4" s="3684" t="s">
        <v>1670</v>
      </c>
      <c r="W4" s="3684"/>
      <c r="X4" s="1355"/>
      <c r="Y4" s="3678" t="s">
        <v>1672</v>
      </c>
      <c r="Z4" s="3679"/>
      <c r="AA4" s="3665" t="s">
        <v>1668</v>
      </c>
      <c r="AB4" s="3665" t="s">
        <v>1669</v>
      </c>
      <c r="AC4" s="3665" t="s">
        <v>1670</v>
      </c>
    </row>
    <row r="5" spans="1:29" ht="15">
      <c r="A5" s="358"/>
      <c r="B5" s="359"/>
      <c r="C5" s="3725" t="s">
        <v>1673</v>
      </c>
      <c r="D5" s="3688"/>
      <c r="E5" s="3726" t="s">
        <v>1674</v>
      </c>
      <c r="F5" s="3695"/>
      <c r="G5" s="3725" t="s">
        <v>1675</v>
      </c>
      <c r="H5" s="3688"/>
      <c r="I5" s="3725" t="s">
        <v>1676</v>
      </c>
      <c r="J5" s="3688"/>
      <c r="K5" s="1890"/>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1890"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9" t="s">
        <v>1680</v>
      </c>
      <c r="Q7" s="3691"/>
      <c r="R7" s="701" t="s">
        <v>20</v>
      </c>
      <c r="S7" s="702">
        <f t="shared" ref="S7:S15" si="0">F7</f>
        <v>0</v>
      </c>
      <c r="T7" s="701" t="s">
        <v>20</v>
      </c>
      <c r="U7" s="702">
        <f t="shared" ref="U7:U15" si="1">H7</f>
        <v>0</v>
      </c>
      <c r="V7" s="701" t="s">
        <v>20</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4"/>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4"/>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4"/>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4"/>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2" t="s">
        <v>1691</v>
      </c>
      <c r="Q15" s="1352" t="str">
        <f t="shared" si="6"/>
        <v>居住社区成熟度</v>
      </c>
      <c r="R15" s="705" t="s">
        <v>18</v>
      </c>
      <c r="S15" s="706">
        <f t="shared" si="0"/>
        <v>100</v>
      </c>
      <c r="T15" s="705" t="s">
        <v>18</v>
      </c>
      <c r="U15" s="706">
        <f t="shared" si="1"/>
        <v>100</v>
      </c>
      <c r="V15" s="705" t="s">
        <v>18</v>
      </c>
      <c r="W15" s="706">
        <f t="shared" si="2"/>
        <v>100</v>
      </c>
      <c r="X15" s="1355"/>
      <c r="Y15" s="366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3"/>
      <c r="Q16" s="1352"/>
      <c r="R16" s="705"/>
      <c r="S16" s="706"/>
      <c r="T16" s="705"/>
      <c r="U16" s="706"/>
      <c r="V16" s="705"/>
      <c r="W16" s="706"/>
      <c r="X16" s="1355"/>
      <c r="Y16" s="3662"/>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3"/>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3"/>
      <c r="Q18" s="1352"/>
      <c r="R18" s="705"/>
      <c r="S18" s="706"/>
      <c r="T18" s="705"/>
      <c r="U18" s="706"/>
      <c r="V18" s="705"/>
      <c r="W18" s="706"/>
      <c r="X18" s="1355"/>
      <c r="Y18" s="3662"/>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3"/>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3"/>
      <c r="Q20" s="1352"/>
      <c r="R20" s="705"/>
      <c r="S20" s="706"/>
      <c r="T20" s="705"/>
      <c r="U20" s="706"/>
      <c r="V20" s="705"/>
      <c r="W20" s="706"/>
      <c r="X20" s="1355"/>
      <c r="Y20" s="366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3"/>
      <c r="Q22" s="1352"/>
      <c r="R22" s="705"/>
      <c r="S22" s="706"/>
      <c r="T22" s="705"/>
      <c r="U22" s="706"/>
      <c r="V22" s="705"/>
      <c r="W22" s="706"/>
      <c r="X22" s="1355"/>
      <c r="Y22" s="3662"/>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3"/>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3"/>
      <c r="Q24" s="1352"/>
      <c r="R24" s="705"/>
      <c r="S24" s="706"/>
      <c r="T24" s="705"/>
      <c r="U24" s="706"/>
      <c r="V24" s="705"/>
      <c r="W24" s="706"/>
      <c r="X24" s="1355"/>
      <c r="Y24" s="366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3"/>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3"/>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3"/>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3"/>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3"/>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3"/>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8" t="s">
        <v>1696</v>
      </c>
      <c r="Q32" s="1352" t="str">
        <f t="shared" si="11"/>
        <v>建筑类型</v>
      </c>
      <c r="R32" s="705" t="s">
        <v>18</v>
      </c>
      <c r="S32" s="706">
        <f t="shared" si="12"/>
        <v>100</v>
      </c>
      <c r="T32" s="705" t="s">
        <v>18</v>
      </c>
      <c r="U32" s="706">
        <f t="shared" si="13"/>
        <v>100</v>
      </c>
      <c r="V32" s="705" t="s">
        <v>18</v>
      </c>
      <c r="W32" s="706">
        <f t="shared" si="14"/>
        <v>100</v>
      </c>
      <c r="X32" s="1355"/>
      <c r="Y32" s="366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9"/>
      <c r="Q33" s="707" t="str">
        <f t="shared" si="11"/>
        <v>项目建筑规模</v>
      </c>
      <c r="R33" s="708" t="s">
        <v>18</v>
      </c>
      <c r="S33" s="709" t="e">
        <f t="shared" si="12"/>
        <v>#N/A</v>
      </c>
      <c r="T33" s="708" t="s">
        <v>18</v>
      </c>
      <c r="U33" s="709" t="e">
        <f t="shared" si="13"/>
        <v>#N/A</v>
      </c>
      <c r="V33" s="708" t="s">
        <v>18</v>
      </c>
      <c r="W33" s="709" t="e">
        <f t="shared" si="14"/>
        <v>#N/A</v>
      </c>
      <c r="X33" s="710"/>
      <c r="Y33" s="366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9"/>
      <c r="Q34" s="1352" t="str">
        <f t="shared" si="11"/>
        <v>建筑结构</v>
      </c>
      <c r="R34" s="705" t="s">
        <v>18</v>
      </c>
      <c r="S34" s="706">
        <f t="shared" si="12"/>
        <v>100</v>
      </c>
      <c r="T34" s="705" t="s">
        <v>18</v>
      </c>
      <c r="U34" s="706">
        <f t="shared" si="13"/>
        <v>100</v>
      </c>
      <c r="V34" s="705" t="s">
        <v>18</v>
      </c>
      <c r="W34" s="706">
        <f t="shared" si="14"/>
        <v>100</v>
      </c>
      <c r="X34" s="1355"/>
      <c r="Y34" s="366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9"/>
      <c r="Q35" s="1352" t="str">
        <f t="shared" si="11"/>
        <v>建筑品质</v>
      </c>
      <c r="R35" s="705" t="s">
        <v>18</v>
      </c>
      <c r="S35" s="706">
        <f t="shared" si="12"/>
        <v>100</v>
      </c>
      <c r="T35" s="705" t="s">
        <v>18</v>
      </c>
      <c r="U35" s="706">
        <f t="shared" si="13"/>
        <v>100</v>
      </c>
      <c r="V35" s="705" t="s">
        <v>18</v>
      </c>
      <c r="W35" s="706">
        <f t="shared" si="14"/>
        <v>100</v>
      </c>
      <c r="X35" s="1355"/>
      <c r="Y35" s="366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9"/>
      <c r="Q36" s="1352" t="str">
        <f t="shared" si="11"/>
        <v>公共部分装修</v>
      </c>
      <c r="R36" s="705" t="s">
        <v>18</v>
      </c>
      <c r="S36" s="706">
        <f t="shared" si="12"/>
        <v>100</v>
      </c>
      <c r="T36" s="705" t="s">
        <v>18</v>
      </c>
      <c r="U36" s="706">
        <f t="shared" si="13"/>
        <v>100</v>
      </c>
      <c r="V36" s="705" t="s">
        <v>18</v>
      </c>
      <c r="W36" s="706">
        <f t="shared" si="14"/>
        <v>100</v>
      </c>
      <c r="X36" s="1355"/>
      <c r="Y36" s="366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9"/>
      <c r="Q37" s="1343" t="str">
        <f t="shared" si="11"/>
        <v>成新度</v>
      </c>
      <c r="R37" s="701" t="s">
        <v>18</v>
      </c>
      <c r="S37" s="702" t="e">
        <f t="shared" si="12"/>
        <v>#N/A</v>
      </c>
      <c r="T37" s="701" t="s">
        <v>18</v>
      </c>
      <c r="U37" s="702" t="e">
        <f t="shared" si="13"/>
        <v>#N/A</v>
      </c>
      <c r="V37" s="701" t="s">
        <v>18</v>
      </c>
      <c r="W37" s="702" t="e">
        <f t="shared" si="14"/>
        <v>#N/A</v>
      </c>
      <c r="X37" s="703"/>
      <c r="Y37" s="366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9" t="s">
        <v>1696</v>
      </c>
      <c r="Q38" s="1352" t="str">
        <f t="shared" si="11"/>
        <v>物业管理</v>
      </c>
      <c r="R38" s="705" t="s">
        <v>18</v>
      </c>
      <c r="S38" s="706">
        <f t="shared" si="12"/>
        <v>100</v>
      </c>
      <c r="T38" s="705" t="s">
        <v>18</v>
      </c>
      <c r="U38" s="706">
        <f t="shared" si="13"/>
        <v>100</v>
      </c>
      <c r="V38" s="705" t="s">
        <v>18</v>
      </c>
      <c r="W38" s="706">
        <f t="shared" si="14"/>
        <v>100</v>
      </c>
      <c r="X38" s="1355"/>
      <c r="Y38" s="366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9"/>
      <c r="Q39" s="1352" t="str">
        <f t="shared" si="11"/>
        <v>市政基础设施</v>
      </c>
      <c r="R39" s="705" t="s">
        <v>18</v>
      </c>
      <c r="S39" s="706">
        <f t="shared" si="12"/>
        <v>100</v>
      </c>
      <c r="T39" s="705" t="s">
        <v>18</v>
      </c>
      <c r="U39" s="706">
        <f t="shared" si="13"/>
        <v>100</v>
      </c>
      <c r="V39" s="705" t="s">
        <v>18</v>
      </c>
      <c r="W39" s="706">
        <f t="shared" si="14"/>
        <v>100</v>
      </c>
      <c r="X39" s="1355"/>
      <c r="Y39" s="366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9"/>
      <c r="Q40" s="1352" t="str">
        <f t="shared" si="11"/>
        <v>房型</v>
      </c>
      <c r="R40" s="705" t="s">
        <v>18</v>
      </c>
      <c r="S40" s="706">
        <f t="shared" si="12"/>
        <v>100</v>
      </c>
      <c r="T40" s="705" t="s">
        <v>18</v>
      </c>
      <c r="U40" s="706">
        <f t="shared" si="13"/>
        <v>100</v>
      </c>
      <c r="V40" s="705" t="s">
        <v>18</v>
      </c>
      <c r="W40" s="706">
        <f t="shared" si="14"/>
        <v>100</v>
      </c>
      <c r="X40" s="1355"/>
      <c r="Y40" s="366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9"/>
      <c r="Q41" s="707" t="str">
        <f t="shared" si="11"/>
        <v>单套/主力户型建筑面积</v>
      </c>
      <c r="R41" s="708" t="s">
        <v>18</v>
      </c>
      <c r="S41" s="709">
        <f t="shared" si="12"/>
        <v>100</v>
      </c>
      <c r="T41" s="708" t="s">
        <v>18</v>
      </c>
      <c r="U41" s="709">
        <f t="shared" si="13"/>
        <v>100</v>
      </c>
      <c r="V41" s="708" t="s">
        <v>18</v>
      </c>
      <c r="W41" s="709">
        <f t="shared" si="14"/>
        <v>100</v>
      </c>
      <c r="X41" s="710"/>
      <c r="Y41" s="366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9"/>
      <c r="Q42" s="1352" t="str">
        <f t="shared" si="11"/>
        <v>内部装修</v>
      </c>
      <c r="R42" s="705" t="s">
        <v>18</v>
      </c>
      <c r="S42" s="706">
        <f t="shared" si="12"/>
        <v>100</v>
      </c>
      <c r="T42" s="705" t="s">
        <v>18</v>
      </c>
      <c r="U42" s="706">
        <f t="shared" si="13"/>
        <v>100</v>
      </c>
      <c r="V42" s="705" t="s">
        <v>18</v>
      </c>
      <c r="W42" s="706">
        <f t="shared" si="14"/>
        <v>100</v>
      </c>
      <c r="X42" s="1355"/>
      <c r="Y42" s="366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9"/>
      <c r="Q43" s="1352" t="str">
        <f t="shared" si="11"/>
        <v>内部装修维护情况</v>
      </c>
      <c r="R43" s="705" t="s">
        <v>18</v>
      </c>
      <c r="S43" s="706">
        <f t="shared" si="12"/>
        <v>100</v>
      </c>
      <c r="T43" s="705" t="s">
        <v>18</v>
      </c>
      <c r="U43" s="706">
        <f t="shared" si="13"/>
        <v>100</v>
      </c>
      <c r="V43" s="705" t="s">
        <v>18</v>
      </c>
      <c r="W43" s="706">
        <f t="shared" si="14"/>
        <v>100</v>
      </c>
      <c r="X43" s="1355"/>
      <c r="Y43" s="366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9"/>
      <c r="Q44" s="1343">
        <f t="shared" si="11"/>
        <v>111</v>
      </c>
      <c r="R44" s="701" t="s">
        <v>18</v>
      </c>
      <c r="S44" s="702">
        <f t="shared" si="12"/>
        <v>100</v>
      </c>
      <c r="T44" s="701" t="s">
        <v>18</v>
      </c>
      <c r="U44" s="702">
        <f t="shared" si="13"/>
        <v>100</v>
      </c>
      <c r="V44" s="701" t="s">
        <v>18</v>
      </c>
      <c r="W44" s="702">
        <f t="shared" si="14"/>
        <v>100</v>
      </c>
      <c r="X44" s="703"/>
      <c r="Y44" s="366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9"/>
      <c r="Q45" s="1352">
        <f t="shared" si="11"/>
        <v>111</v>
      </c>
      <c r="R45" s="705" t="s">
        <v>18</v>
      </c>
      <c r="S45" s="706">
        <f t="shared" si="12"/>
        <v>100</v>
      </c>
      <c r="T45" s="705" t="s">
        <v>18</v>
      </c>
      <c r="U45" s="706">
        <f t="shared" si="13"/>
        <v>100</v>
      </c>
      <c r="V45" s="705" t="s">
        <v>18</v>
      </c>
      <c r="W45" s="706">
        <f t="shared" si="14"/>
        <v>100</v>
      </c>
      <c r="X45" s="1355"/>
      <c r="Y45" s="366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0"/>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56" t="str">
        <f>A47</f>
        <v>成交单价（元/平方米）</v>
      </c>
      <c r="Q47" s="3656"/>
      <c r="R47" s="3657">
        <f>E47</f>
        <v>0</v>
      </c>
      <c r="S47" s="3657"/>
      <c r="T47" s="3657">
        <f>G47</f>
        <v>0</v>
      </c>
      <c r="U47" s="3657"/>
      <c r="V47" s="3657">
        <f>I47</f>
        <v>0</v>
      </c>
      <c r="W47" s="365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58" t="str">
        <f>A49</f>
        <v>估价对象XX用房的比较价值（楼面单价，元/平方米）</v>
      </c>
      <c r="Q49" s="3659"/>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84"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84"/>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84"/>
      <c r="AC6" s="3667"/>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4"/>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4"/>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4"/>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4"/>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2" t="s">
        <v>1691</v>
      </c>
      <c r="Q15" s="1352" t="str">
        <f t="shared" si="6"/>
        <v>商业繁华度</v>
      </c>
      <c r="R15" s="705" t="s">
        <v>14</v>
      </c>
      <c r="S15" s="706">
        <f t="shared" si="0"/>
        <v>100</v>
      </c>
      <c r="T15" s="705" t="s">
        <v>14</v>
      </c>
      <c r="U15" s="706">
        <f t="shared" si="1"/>
        <v>100</v>
      </c>
      <c r="V15" s="705" t="s">
        <v>14</v>
      </c>
      <c r="W15" s="706">
        <f t="shared" si="2"/>
        <v>100</v>
      </c>
      <c r="X15" s="1355"/>
      <c r="Y15" s="366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3"/>
      <c r="Q16" s="1352"/>
      <c r="R16" s="705"/>
      <c r="S16" s="706"/>
      <c r="T16" s="705"/>
      <c r="U16" s="706"/>
      <c r="V16" s="705"/>
      <c r="W16" s="706"/>
      <c r="X16" s="1355"/>
      <c r="Y16" s="3662"/>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3"/>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3"/>
      <c r="Q18" s="1352"/>
      <c r="R18" s="705"/>
      <c r="S18" s="706"/>
      <c r="T18" s="705"/>
      <c r="U18" s="706"/>
      <c r="V18" s="705"/>
      <c r="W18" s="706"/>
      <c r="X18" s="1355"/>
      <c r="Y18" s="3662"/>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3"/>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3"/>
      <c r="Q20" s="1352"/>
      <c r="R20" s="705"/>
      <c r="S20" s="706"/>
      <c r="T20" s="705"/>
      <c r="U20" s="706"/>
      <c r="V20" s="705"/>
      <c r="W20" s="706"/>
      <c r="X20" s="1355"/>
      <c r="Y20" s="366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3"/>
      <c r="Q22" s="1352"/>
      <c r="R22" s="705"/>
      <c r="S22" s="706"/>
      <c r="T22" s="705"/>
      <c r="U22" s="706"/>
      <c r="V22" s="705"/>
      <c r="W22" s="706"/>
      <c r="X22" s="1355"/>
      <c r="Y22" s="3662"/>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3"/>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3"/>
      <c r="Q24" s="1352"/>
      <c r="R24" s="705"/>
      <c r="S24" s="706"/>
      <c r="T24" s="705"/>
      <c r="U24" s="706"/>
      <c r="V24" s="705"/>
      <c r="W24" s="706"/>
      <c r="X24" s="1355"/>
      <c r="Y24" s="366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3"/>
      <c r="Q25" s="1352" t="str">
        <f t="shared" ref="Q25:Q46" si="11">B25</f>
        <v>临街状况</v>
      </c>
      <c r="R25" s="705" t="s">
        <v>14</v>
      </c>
      <c r="S25" s="706">
        <f>F25</f>
        <v>100</v>
      </c>
      <c r="T25" s="705" t="s">
        <v>14</v>
      </c>
      <c r="U25" s="706">
        <f>H25</f>
        <v>100</v>
      </c>
      <c r="V25" s="705" t="s">
        <v>14</v>
      </c>
      <c r="W25" s="706">
        <f>J25</f>
        <v>100</v>
      </c>
      <c r="X25" s="1355"/>
      <c r="Y25" s="366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3"/>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3"/>
      <c r="Q27" s="1343" t="str">
        <f t="shared" si="11"/>
        <v>人流量</v>
      </c>
      <c r="R27" s="701" t="s">
        <v>14</v>
      </c>
      <c r="S27" s="702">
        <f>F27</f>
        <v>100</v>
      </c>
      <c r="T27" s="701" t="s">
        <v>14</v>
      </c>
      <c r="U27" s="702">
        <f>H27</f>
        <v>100</v>
      </c>
      <c r="V27" s="701" t="s">
        <v>14</v>
      </c>
      <c r="W27" s="702">
        <f>J27</f>
        <v>100</v>
      </c>
      <c r="X27" s="703"/>
      <c r="Y27" s="366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3"/>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3"/>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3"/>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8" t="s">
        <v>1696</v>
      </c>
      <c r="Q32" s="1352" t="str">
        <f t="shared" si="11"/>
        <v>商业类型</v>
      </c>
      <c r="R32" s="705" t="s">
        <v>14</v>
      </c>
      <c r="S32" s="706">
        <f t="shared" si="12"/>
        <v>100</v>
      </c>
      <c r="T32" s="705" t="s">
        <v>14</v>
      </c>
      <c r="U32" s="706">
        <f t="shared" si="13"/>
        <v>100</v>
      </c>
      <c r="V32" s="705" t="s">
        <v>14</v>
      </c>
      <c r="W32" s="706">
        <f t="shared" si="14"/>
        <v>100</v>
      </c>
      <c r="X32" s="1355"/>
      <c r="Y32" s="366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9"/>
      <c r="Q33" s="707" t="str">
        <f t="shared" si="11"/>
        <v>项目建筑规模</v>
      </c>
      <c r="R33" s="708" t="s">
        <v>14</v>
      </c>
      <c r="S33" s="709" t="e">
        <f t="shared" si="12"/>
        <v>#N/A</v>
      </c>
      <c r="T33" s="708" t="s">
        <v>14</v>
      </c>
      <c r="U33" s="709" t="e">
        <f t="shared" si="13"/>
        <v>#N/A</v>
      </c>
      <c r="V33" s="708" t="s">
        <v>14</v>
      </c>
      <c r="W33" s="709" t="e">
        <f t="shared" si="14"/>
        <v>#N/A</v>
      </c>
      <c r="X33" s="710"/>
      <c r="Y33" s="366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9"/>
      <c r="Q34" s="1352" t="str">
        <f t="shared" si="11"/>
        <v>建筑结构</v>
      </c>
      <c r="R34" s="705" t="s">
        <v>14</v>
      </c>
      <c r="S34" s="706">
        <f t="shared" si="12"/>
        <v>100</v>
      </c>
      <c r="T34" s="705" t="s">
        <v>14</v>
      </c>
      <c r="U34" s="706">
        <f t="shared" si="13"/>
        <v>100</v>
      </c>
      <c r="V34" s="705" t="s">
        <v>14</v>
      </c>
      <c r="W34" s="706">
        <f t="shared" si="14"/>
        <v>100</v>
      </c>
      <c r="X34" s="1355"/>
      <c r="Y34" s="366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9"/>
      <c r="Q35" s="1352" t="str">
        <f t="shared" si="11"/>
        <v>公共部分装修</v>
      </c>
      <c r="R35" s="705" t="s">
        <v>14</v>
      </c>
      <c r="S35" s="706">
        <f t="shared" si="12"/>
        <v>100</v>
      </c>
      <c r="T35" s="705" t="s">
        <v>14</v>
      </c>
      <c r="U35" s="706">
        <f t="shared" si="13"/>
        <v>100</v>
      </c>
      <c r="V35" s="705" t="s">
        <v>14</v>
      </c>
      <c r="W35" s="706">
        <f t="shared" si="14"/>
        <v>100</v>
      </c>
      <c r="X35" s="1355"/>
      <c r="Y35" s="366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9"/>
      <c r="Q36" s="1352" t="str">
        <f t="shared" si="11"/>
        <v>成新度</v>
      </c>
      <c r="R36" s="705" t="s">
        <v>14</v>
      </c>
      <c r="S36" s="706" t="e">
        <f t="shared" si="12"/>
        <v>#N/A</v>
      </c>
      <c r="T36" s="705" t="s">
        <v>14</v>
      </c>
      <c r="U36" s="706" t="e">
        <f t="shared" si="13"/>
        <v>#N/A</v>
      </c>
      <c r="V36" s="705" t="s">
        <v>14</v>
      </c>
      <c r="W36" s="706" t="e">
        <f t="shared" si="14"/>
        <v>#N/A</v>
      </c>
      <c r="X36" s="1355"/>
      <c r="Y36" s="366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9"/>
      <c r="Q37" s="1343" t="str">
        <f t="shared" si="11"/>
        <v>市政基础设施</v>
      </c>
      <c r="R37" s="701" t="s">
        <v>14</v>
      </c>
      <c r="S37" s="702">
        <f t="shared" si="12"/>
        <v>100</v>
      </c>
      <c r="T37" s="701" t="s">
        <v>14</v>
      </c>
      <c r="U37" s="702">
        <f t="shared" si="13"/>
        <v>100</v>
      </c>
      <c r="V37" s="701" t="s">
        <v>14</v>
      </c>
      <c r="W37" s="702">
        <f t="shared" si="14"/>
        <v>100</v>
      </c>
      <c r="X37" s="703"/>
      <c r="Y37" s="366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9" t="s">
        <v>1696</v>
      </c>
      <c r="Q38" s="1352" t="str">
        <f t="shared" si="11"/>
        <v>业态</v>
      </c>
      <c r="R38" s="705" t="s">
        <v>14</v>
      </c>
      <c r="S38" s="706">
        <f t="shared" si="12"/>
        <v>100</v>
      </c>
      <c r="T38" s="705" t="s">
        <v>14</v>
      </c>
      <c r="U38" s="706">
        <f t="shared" si="13"/>
        <v>100</v>
      </c>
      <c r="V38" s="705" t="s">
        <v>14</v>
      </c>
      <c r="W38" s="706">
        <f t="shared" si="14"/>
        <v>100</v>
      </c>
      <c r="X38" s="1355"/>
      <c r="Y38" s="366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9"/>
      <c r="Q39" s="1352" t="str">
        <f t="shared" si="11"/>
        <v>层高</v>
      </c>
      <c r="R39" s="705" t="s">
        <v>14</v>
      </c>
      <c r="S39" s="706">
        <f t="shared" si="12"/>
        <v>100</v>
      </c>
      <c r="T39" s="705" t="s">
        <v>14</v>
      </c>
      <c r="U39" s="706">
        <f t="shared" si="13"/>
        <v>100</v>
      </c>
      <c r="V39" s="705" t="s">
        <v>14</v>
      </c>
      <c r="W39" s="706">
        <f t="shared" si="14"/>
        <v>100</v>
      </c>
      <c r="X39" s="1355"/>
      <c r="Y39" s="366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9"/>
      <c r="Q40" s="1352" t="str">
        <f t="shared" si="11"/>
        <v>单套建筑面积</v>
      </c>
      <c r="R40" s="705" t="s">
        <v>14</v>
      </c>
      <c r="S40" s="706">
        <f t="shared" si="12"/>
        <v>100</v>
      </c>
      <c r="T40" s="705" t="s">
        <v>14</v>
      </c>
      <c r="U40" s="706">
        <f t="shared" si="13"/>
        <v>100</v>
      </c>
      <c r="V40" s="705" t="s">
        <v>14</v>
      </c>
      <c r="W40" s="706">
        <f t="shared" si="14"/>
        <v>100</v>
      </c>
      <c r="X40" s="1355"/>
      <c r="Y40" s="366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9"/>
      <c r="Q41" s="707" t="str">
        <f t="shared" si="11"/>
        <v>进深比</v>
      </c>
      <c r="R41" s="708" t="s">
        <v>14</v>
      </c>
      <c r="S41" s="709">
        <f t="shared" si="12"/>
        <v>100</v>
      </c>
      <c r="T41" s="708" t="s">
        <v>14</v>
      </c>
      <c r="U41" s="709">
        <f t="shared" si="13"/>
        <v>100</v>
      </c>
      <c r="V41" s="708" t="s">
        <v>14</v>
      </c>
      <c r="W41" s="709">
        <f t="shared" si="14"/>
        <v>100</v>
      </c>
      <c r="X41" s="710"/>
      <c r="Y41" s="366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9"/>
      <c r="Q42" s="1352" t="str">
        <f t="shared" si="11"/>
        <v>内部装修</v>
      </c>
      <c r="R42" s="705" t="s">
        <v>14</v>
      </c>
      <c r="S42" s="706">
        <f t="shared" si="12"/>
        <v>100</v>
      </c>
      <c r="T42" s="705" t="s">
        <v>14</v>
      </c>
      <c r="U42" s="706">
        <f t="shared" si="13"/>
        <v>100</v>
      </c>
      <c r="V42" s="705" t="s">
        <v>14</v>
      </c>
      <c r="W42" s="706">
        <f t="shared" si="14"/>
        <v>100</v>
      </c>
      <c r="X42" s="1355"/>
      <c r="Y42" s="366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9"/>
      <c r="Q43" s="1352" t="str">
        <f t="shared" si="11"/>
        <v>内部装修维护情况</v>
      </c>
      <c r="R43" s="705" t="s">
        <v>14</v>
      </c>
      <c r="S43" s="706">
        <f t="shared" si="12"/>
        <v>100</v>
      </c>
      <c r="T43" s="705" t="s">
        <v>14</v>
      </c>
      <c r="U43" s="706">
        <f t="shared" si="13"/>
        <v>100</v>
      </c>
      <c r="V43" s="705" t="s">
        <v>14</v>
      </c>
      <c r="W43" s="706">
        <f t="shared" si="14"/>
        <v>100</v>
      </c>
      <c r="X43" s="1355"/>
      <c r="Y43" s="366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9"/>
      <c r="Q44" s="1343">
        <f t="shared" si="11"/>
        <v>111</v>
      </c>
      <c r="R44" s="701" t="s">
        <v>14</v>
      </c>
      <c r="S44" s="702">
        <f t="shared" si="12"/>
        <v>100</v>
      </c>
      <c r="T44" s="701" t="s">
        <v>14</v>
      </c>
      <c r="U44" s="702">
        <f t="shared" si="13"/>
        <v>100</v>
      </c>
      <c r="V44" s="701" t="s">
        <v>14</v>
      </c>
      <c r="W44" s="702">
        <f t="shared" si="14"/>
        <v>100</v>
      </c>
      <c r="X44" s="703"/>
      <c r="Y44" s="366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9"/>
      <c r="Q45" s="1352">
        <f t="shared" si="11"/>
        <v>111</v>
      </c>
      <c r="R45" s="705" t="s">
        <v>14</v>
      </c>
      <c r="S45" s="706">
        <f t="shared" si="12"/>
        <v>100</v>
      </c>
      <c r="T45" s="705" t="s">
        <v>14</v>
      </c>
      <c r="U45" s="706">
        <f t="shared" si="13"/>
        <v>100</v>
      </c>
      <c r="V45" s="705" t="s">
        <v>14</v>
      </c>
      <c r="W45" s="706">
        <f t="shared" si="14"/>
        <v>100</v>
      </c>
      <c r="X45" s="1355"/>
      <c r="Y45" s="366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0"/>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56" t="str">
        <f>A47</f>
        <v>成交单价（元/平方米）</v>
      </c>
      <c r="Q47" s="3656"/>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58" t="str">
        <f>A49</f>
        <v>估价对象XX用房的比较价值（楼面单价，元/平方米）</v>
      </c>
      <c r="Q49" s="3659"/>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25" t="s">
        <v>1673</v>
      </c>
      <c r="D5" s="3688"/>
      <c r="E5" s="3726" t="s">
        <v>1674</v>
      </c>
      <c r="F5" s="3695"/>
      <c r="G5" s="3725" t="s">
        <v>1675</v>
      </c>
      <c r="H5" s="3688"/>
      <c r="I5" s="3725" t="s">
        <v>1676</v>
      </c>
      <c r="J5" s="3688"/>
      <c r="K5" s="559"/>
      <c r="L5" s="2713"/>
      <c r="M5" s="2714"/>
      <c r="N5" s="2714"/>
      <c r="O5" s="2714"/>
      <c r="P5" s="3735"/>
      <c r="Q5" s="3675"/>
      <c r="R5" s="3680"/>
      <c r="S5" s="3681"/>
      <c r="T5" s="3680"/>
      <c r="U5" s="3681"/>
      <c r="V5" s="3684"/>
      <c r="W5" s="3684"/>
      <c r="X5" s="1355"/>
      <c r="Y5" s="3680"/>
      <c r="Z5" s="3681"/>
      <c r="AA5" s="3666"/>
      <c r="AB5" s="3666"/>
      <c r="AC5" s="3731"/>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736"/>
      <c r="Q6" s="3677"/>
      <c r="R6" s="3680"/>
      <c r="S6" s="3681"/>
      <c r="T6" s="3682"/>
      <c r="U6" s="3683"/>
      <c r="V6" s="3684"/>
      <c r="W6" s="3684"/>
      <c r="X6" s="1355"/>
      <c r="Y6" s="3682"/>
      <c r="Z6" s="3683"/>
      <c r="AA6" s="3667"/>
      <c r="AB6" s="3667"/>
      <c r="AC6" s="3732"/>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0"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0"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4"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4"/>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4"/>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24"/>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24"/>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24"/>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2" t="s">
        <v>1691</v>
      </c>
      <c r="Q15" s="1352" t="str">
        <f t="shared" si="6"/>
        <v>办公集聚程度</v>
      </c>
      <c r="R15" s="705" t="s">
        <v>14</v>
      </c>
      <c r="S15" s="706">
        <f t="shared" si="0"/>
        <v>100</v>
      </c>
      <c r="T15" s="705" t="s">
        <v>14</v>
      </c>
      <c r="U15" s="706">
        <f t="shared" si="1"/>
        <v>100</v>
      </c>
      <c r="V15" s="705" t="s">
        <v>14</v>
      </c>
      <c r="W15" s="706">
        <f t="shared" si="2"/>
        <v>100</v>
      </c>
      <c r="X15" s="1355"/>
      <c r="Y15" s="366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3"/>
      <c r="Q16" s="1352"/>
      <c r="R16" s="705"/>
      <c r="S16" s="706"/>
      <c r="T16" s="705"/>
      <c r="U16" s="706"/>
      <c r="V16" s="705"/>
      <c r="W16" s="706"/>
      <c r="X16" s="1355"/>
      <c r="Y16" s="3662"/>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3"/>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3"/>
      <c r="Q18" s="1352"/>
      <c r="R18" s="705"/>
      <c r="S18" s="706"/>
      <c r="T18" s="705"/>
      <c r="U18" s="706"/>
      <c r="V18" s="705"/>
      <c r="W18" s="706"/>
      <c r="X18" s="1355"/>
      <c r="Y18" s="3662"/>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3"/>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3"/>
      <c r="Q20" s="1352"/>
      <c r="R20" s="705"/>
      <c r="S20" s="706"/>
      <c r="T20" s="705"/>
      <c r="U20" s="706"/>
      <c r="V20" s="705"/>
      <c r="W20" s="706"/>
      <c r="X20" s="1355"/>
      <c r="Y20" s="366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3"/>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3"/>
      <c r="Q22" s="1352"/>
      <c r="R22" s="705"/>
      <c r="S22" s="706"/>
      <c r="T22" s="705"/>
      <c r="U22" s="706"/>
      <c r="V22" s="705"/>
      <c r="W22" s="706"/>
      <c r="X22" s="1355"/>
      <c r="Y22" s="3662"/>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3"/>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3"/>
      <c r="Q24" s="1352"/>
      <c r="R24" s="705"/>
      <c r="S24" s="706"/>
      <c r="T24" s="705"/>
      <c r="U24" s="706"/>
      <c r="V24" s="705"/>
      <c r="W24" s="706"/>
      <c r="X24" s="1355"/>
      <c r="Y24" s="366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3"/>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3"/>
      <c r="Q26" s="1352"/>
      <c r="R26" s="705"/>
      <c r="S26" s="706"/>
      <c r="T26" s="705"/>
      <c r="U26" s="706"/>
      <c r="V26" s="705"/>
      <c r="W26" s="706"/>
      <c r="X26" s="1355"/>
      <c r="Y26" s="366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3"/>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3"/>
      <c r="Q28" s="1343" t="str">
        <f t="shared" si="11"/>
        <v>朝向</v>
      </c>
      <c r="R28" s="701" t="s">
        <v>14</v>
      </c>
      <c r="S28" s="702">
        <f>F28</f>
        <v>100</v>
      </c>
      <c r="T28" s="701" t="s">
        <v>14</v>
      </c>
      <c r="U28" s="702">
        <f>H28</f>
        <v>100</v>
      </c>
      <c r="V28" s="701" t="s">
        <v>14</v>
      </c>
      <c r="W28" s="702">
        <f>J28</f>
        <v>100</v>
      </c>
      <c r="X28" s="703"/>
      <c r="Y28" s="36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3"/>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3"/>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3"/>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8" t="s">
        <v>1696</v>
      </c>
      <c r="Q33" s="1352" t="str">
        <f t="shared" si="11"/>
        <v>建筑类型</v>
      </c>
      <c r="R33" s="705" t="s">
        <v>14</v>
      </c>
      <c r="S33" s="706">
        <f t="shared" si="12"/>
        <v>100</v>
      </c>
      <c r="T33" s="705" t="s">
        <v>14</v>
      </c>
      <c r="U33" s="706">
        <f t="shared" si="13"/>
        <v>100</v>
      </c>
      <c r="V33" s="705" t="s">
        <v>14</v>
      </c>
      <c r="W33" s="706">
        <f t="shared" si="14"/>
        <v>100</v>
      </c>
      <c r="X33" s="1355"/>
      <c r="Y33" s="366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9"/>
      <c r="Q34" s="707" t="str">
        <f t="shared" si="11"/>
        <v>项目建筑规模</v>
      </c>
      <c r="R34" s="708" t="s">
        <v>14</v>
      </c>
      <c r="S34" s="709" t="e">
        <f t="shared" si="12"/>
        <v>#N/A</v>
      </c>
      <c r="T34" s="708" t="s">
        <v>14</v>
      </c>
      <c r="U34" s="709" t="e">
        <f t="shared" si="13"/>
        <v>#N/A</v>
      </c>
      <c r="V34" s="708" t="s">
        <v>14</v>
      </c>
      <c r="W34" s="709" t="e">
        <f t="shared" si="14"/>
        <v>#N/A</v>
      </c>
      <c r="X34" s="710"/>
      <c r="Y34" s="366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9"/>
      <c r="Q35" s="1352" t="str">
        <f t="shared" si="11"/>
        <v>建筑结构</v>
      </c>
      <c r="R35" s="705" t="s">
        <v>14</v>
      </c>
      <c r="S35" s="706">
        <f t="shared" si="12"/>
        <v>100</v>
      </c>
      <c r="T35" s="705" t="s">
        <v>14</v>
      </c>
      <c r="U35" s="706">
        <f t="shared" si="13"/>
        <v>100</v>
      </c>
      <c r="V35" s="705" t="s">
        <v>14</v>
      </c>
      <c r="W35" s="706">
        <f t="shared" si="14"/>
        <v>100</v>
      </c>
      <c r="X35" s="1355"/>
      <c r="Y35" s="366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9"/>
      <c r="Q36" s="1352" t="str">
        <f t="shared" si="11"/>
        <v>公共部分装修</v>
      </c>
      <c r="R36" s="705" t="s">
        <v>14</v>
      </c>
      <c r="S36" s="706">
        <f t="shared" si="12"/>
        <v>100</v>
      </c>
      <c r="T36" s="705" t="s">
        <v>14</v>
      </c>
      <c r="U36" s="706">
        <f t="shared" si="13"/>
        <v>100</v>
      </c>
      <c r="V36" s="705" t="s">
        <v>14</v>
      </c>
      <c r="W36" s="706">
        <f t="shared" si="14"/>
        <v>100</v>
      </c>
      <c r="X36" s="1355"/>
      <c r="Y36" s="366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9"/>
      <c r="Q37" s="1352" t="str">
        <f t="shared" si="11"/>
        <v>成新度</v>
      </c>
      <c r="R37" s="705" t="s">
        <v>14</v>
      </c>
      <c r="S37" s="706" t="e">
        <f t="shared" si="12"/>
        <v>#N/A</v>
      </c>
      <c r="T37" s="705" t="s">
        <v>14</v>
      </c>
      <c r="U37" s="706" t="e">
        <f t="shared" si="13"/>
        <v>#N/A</v>
      </c>
      <c r="V37" s="705" t="s">
        <v>14</v>
      </c>
      <c r="W37" s="706" t="e">
        <f t="shared" si="14"/>
        <v>#N/A</v>
      </c>
      <c r="X37" s="1355"/>
      <c r="Y37" s="366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9"/>
      <c r="Q38" s="1343" t="str">
        <f t="shared" si="11"/>
        <v>写字楼等级</v>
      </c>
      <c r="R38" s="701" t="s">
        <v>14</v>
      </c>
      <c r="S38" s="702">
        <f t="shared" si="12"/>
        <v>100</v>
      </c>
      <c r="T38" s="701" t="s">
        <v>14</v>
      </c>
      <c r="U38" s="702">
        <f t="shared" si="13"/>
        <v>100</v>
      </c>
      <c r="V38" s="701" t="s">
        <v>14</v>
      </c>
      <c r="W38" s="702">
        <f t="shared" si="14"/>
        <v>100</v>
      </c>
      <c r="X38" s="703"/>
      <c r="Y38" s="366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9" t="s">
        <v>1696</v>
      </c>
      <c r="Q39" s="1352" t="str">
        <f t="shared" si="11"/>
        <v>物业管理</v>
      </c>
      <c r="R39" s="705" t="s">
        <v>14</v>
      </c>
      <c r="S39" s="706">
        <f t="shared" si="12"/>
        <v>100</v>
      </c>
      <c r="T39" s="705" t="s">
        <v>14</v>
      </c>
      <c r="U39" s="706">
        <f t="shared" si="13"/>
        <v>100</v>
      </c>
      <c r="V39" s="705" t="s">
        <v>14</v>
      </c>
      <c r="W39" s="706">
        <f t="shared" si="14"/>
        <v>100</v>
      </c>
      <c r="X39" s="1355"/>
      <c r="Y39" s="366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9"/>
      <c r="Q40" s="1352" t="str">
        <f t="shared" si="11"/>
        <v>市政基础设施</v>
      </c>
      <c r="R40" s="705" t="s">
        <v>14</v>
      </c>
      <c r="S40" s="706">
        <f t="shared" si="12"/>
        <v>100</v>
      </c>
      <c r="T40" s="705" t="s">
        <v>14</v>
      </c>
      <c r="U40" s="706">
        <f t="shared" si="13"/>
        <v>100</v>
      </c>
      <c r="V40" s="705" t="s">
        <v>14</v>
      </c>
      <c r="W40" s="706">
        <f t="shared" si="14"/>
        <v>100</v>
      </c>
      <c r="X40" s="1355"/>
      <c r="Y40" s="366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9"/>
      <c r="Q41" s="1352" t="str">
        <f t="shared" si="11"/>
        <v>层高</v>
      </c>
      <c r="R41" s="705" t="s">
        <v>14</v>
      </c>
      <c r="S41" s="706">
        <f t="shared" si="12"/>
        <v>100</v>
      </c>
      <c r="T41" s="705" t="s">
        <v>14</v>
      </c>
      <c r="U41" s="706">
        <f t="shared" si="13"/>
        <v>100</v>
      </c>
      <c r="V41" s="705" t="s">
        <v>14</v>
      </c>
      <c r="W41" s="706">
        <f t="shared" si="14"/>
        <v>100</v>
      </c>
      <c r="X41" s="1355"/>
      <c r="Y41" s="366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9"/>
      <c r="Q42" s="707" t="str">
        <f t="shared" si="11"/>
        <v>单套建筑面积</v>
      </c>
      <c r="R42" s="708" t="s">
        <v>14</v>
      </c>
      <c r="S42" s="709">
        <f t="shared" si="12"/>
        <v>100</v>
      </c>
      <c r="T42" s="708" t="s">
        <v>14</v>
      </c>
      <c r="U42" s="709">
        <f t="shared" si="13"/>
        <v>100</v>
      </c>
      <c r="V42" s="708" t="s">
        <v>14</v>
      </c>
      <c r="W42" s="709">
        <f t="shared" si="14"/>
        <v>100</v>
      </c>
      <c r="X42" s="710"/>
      <c r="Y42" s="366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9"/>
      <c r="Q43" s="1352" t="str">
        <f t="shared" si="11"/>
        <v>内部装修</v>
      </c>
      <c r="R43" s="705" t="s">
        <v>14</v>
      </c>
      <c r="S43" s="706">
        <f t="shared" si="12"/>
        <v>100</v>
      </c>
      <c r="T43" s="705" t="s">
        <v>14</v>
      </c>
      <c r="U43" s="706">
        <f t="shared" si="13"/>
        <v>100</v>
      </c>
      <c r="V43" s="705" t="s">
        <v>14</v>
      </c>
      <c r="W43" s="706">
        <f t="shared" si="14"/>
        <v>100</v>
      </c>
      <c r="X43" s="1355"/>
      <c r="Y43" s="366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9"/>
      <c r="Q44" s="1352" t="str">
        <f t="shared" si="11"/>
        <v>内部装修维护情况</v>
      </c>
      <c r="R44" s="705" t="s">
        <v>14</v>
      </c>
      <c r="S44" s="706">
        <f t="shared" si="12"/>
        <v>100</v>
      </c>
      <c r="T44" s="705" t="s">
        <v>14</v>
      </c>
      <c r="U44" s="706">
        <f t="shared" si="13"/>
        <v>100</v>
      </c>
      <c r="V44" s="705" t="s">
        <v>14</v>
      </c>
      <c r="W44" s="706">
        <f t="shared" si="14"/>
        <v>100</v>
      </c>
      <c r="X44" s="1355"/>
      <c r="Y44" s="366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9"/>
      <c r="Q45" s="1343">
        <f t="shared" si="11"/>
        <v>111</v>
      </c>
      <c r="R45" s="701" t="s">
        <v>14</v>
      </c>
      <c r="S45" s="702">
        <f t="shared" si="12"/>
        <v>100</v>
      </c>
      <c r="T45" s="701" t="s">
        <v>14</v>
      </c>
      <c r="U45" s="702">
        <f t="shared" si="13"/>
        <v>100</v>
      </c>
      <c r="V45" s="701" t="s">
        <v>14</v>
      </c>
      <c r="W45" s="702">
        <f t="shared" si="14"/>
        <v>100</v>
      </c>
      <c r="X45" s="703"/>
      <c r="Y45" s="366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9"/>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0"/>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24" t="str">
        <f>A48</f>
        <v>成交单价（元/平方米）</v>
      </c>
      <c r="Q48" s="3656"/>
      <c r="R48" s="3657">
        <f>E48</f>
        <v>0</v>
      </c>
      <c r="S48" s="3657"/>
      <c r="T48" s="3657">
        <f>G48</f>
        <v>0</v>
      </c>
      <c r="U48" s="3657"/>
      <c r="V48" s="3657">
        <f>I48</f>
        <v>0</v>
      </c>
      <c r="W48" s="365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24"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受贵公司委托，我公司对北京市大兴区三羊南街10号院32幢-01层415房地产市场价值进行了预评估。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估价对象为北京市大兴区三羊南街10号院32幢-01层415房地产，为所有。根据《国有土地使用证》[]，估价对象（分摊）出让国有建设用地使用权面积为0平方米，建筑面积为59.98平方米。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-01层415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913"/>
      <c r="M5" s="914"/>
      <c r="N5" s="914"/>
      <c r="O5" s="9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913"/>
      <c r="M6" s="914"/>
      <c r="N6" s="914"/>
      <c r="O6" s="9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6"/>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63" t="s">
        <v>1696</v>
      </c>
      <c r="Q29" s="1352" t="str">
        <f t="shared" si="11"/>
        <v>建筑类型</v>
      </c>
      <c r="R29" s="705" t="s">
        <v>14</v>
      </c>
      <c r="S29" s="706">
        <f t="shared" si="12"/>
        <v>100</v>
      </c>
      <c r="T29" s="705" t="s">
        <v>14</v>
      </c>
      <c r="U29" s="706">
        <f t="shared" si="13"/>
        <v>100</v>
      </c>
      <c r="V29" s="705" t="s">
        <v>14</v>
      </c>
      <c r="W29" s="706">
        <f t="shared" si="14"/>
        <v>100</v>
      </c>
      <c r="X29" s="1355"/>
      <c r="Y29" s="366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4"/>
      <c r="Q30" s="707" t="str">
        <f t="shared" si="11"/>
        <v>项目建筑规模</v>
      </c>
      <c r="R30" s="708" t="s">
        <v>14</v>
      </c>
      <c r="S30" s="709" t="e">
        <f t="shared" si="12"/>
        <v>#N/A</v>
      </c>
      <c r="T30" s="708" t="s">
        <v>14</v>
      </c>
      <c r="U30" s="709" t="e">
        <f t="shared" si="13"/>
        <v>#N/A</v>
      </c>
      <c r="V30" s="708" t="s">
        <v>14</v>
      </c>
      <c r="W30" s="709" t="e">
        <f t="shared" si="14"/>
        <v>#N/A</v>
      </c>
      <c r="X30" s="710"/>
      <c r="Y30" s="366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4"/>
      <c r="Q31" s="1352" t="str">
        <f t="shared" si="11"/>
        <v>建筑结构</v>
      </c>
      <c r="R31" s="705" t="s">
        <v>14</v>
      </c>
      <c r="S31" s="706">
        <f t="shared" si="12"/>
        <v>100</v>
      </c>
      <c r="T31" s="705" t="s">
        <v>14</v>
      </c>
      <c r="U31" s="706">
        <f t="shared" si="13"/>
        <v>100</v>
      </c>
      <c r="V31" s="705" t="s">
        <v>14</v>
      </c>
      <c r="W31" s="706">
        <f t="shared" si="14"/>
        <v>100</v>
      </c>
      <c r="X31" s="1355"/>
      <c r="Y31" s="366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4"/>
      <c r="Q32" s="1352" t="str">
        <f t="shared" si="11"/>
        <v>公共部分装修</v>
      </c>
      <c r="R32" s="705" t="s">
        <v>14</v>
      </c>
      <c r="S32" s="706">
        <f t="shared" si="12"/>
        <v>100</v>
      </c>
      <c r="T32" s="705" t="s">
        <v>14</v>
      </c>
      <c r="U32" s="706">
        <f t="shared" si="13"/>
        <v>100</v>
      </c>
      <c r="V32" s="705" t="s">
        <v>14</v>
      </c>
      <c r="W32" s="706">
        <f t="shared" si="14"/>
        <v>100</v>
      </c>
      <c r="X32" s="1355"/>
      <c r="Y32" s="366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4"/>
      <c r="Q33" s="1352" t="str">
        <f t="shared" si="11"/>
        <v>成新度</v>
      </c>
      <c r="R33" s="705" t="s">
        <v>14</v>
      </c>
      <c r="S33" s="706" t="e">
        <f t="shared" si="12"/>
        <v>#N/A</v>
      </c>
      <c r="T33" s="705" t="s">
        <v>14</v>
      </c>
      <c r="U33" s="706" t="e">
        <f t="shared" si="13"/>
        <v>#N/A</v>
      </c>
      <c r="V33" s="705" t="s">
        <v>14</v>
      </c>
      <c r="W33" s="706" t="e">
        <f t="shared" si="14"/>
        <v>#N/A</v>
      </c>
      <c r="X33" s="1355"/>
      <c r="Y33" s="366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4"/>
      <c r="Q34" s="1343" t="str">
        <f t="shared" si="11"/>
        <v>物业管理</v>
      </c>
      <c r="R34" s="701" t="s">
        <v>14</v>
      </c>
      <c r="S34" s="702">
        <f t="shared" si="12"/>
        <v>100</v>
      </c>
      <c r="T34" s="701" t="s">
        <v>14</v>
      </c>
      <c r="U34" s="702">
        <f t="shared" si="13"/>
        <v>100</v>
      </c>
      <c r="V34" s="701" t="s">
        <v>14</v>
      </c>
      <c r="W34" s="702">
        <f t="shared" si="14"/>
        <v>100</v>
      </c>
      <c r="X34" s="703"/>
      <c r="Y34" s="366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4" t="s">
        <v>1696</v>
      </c>
      <c r="Q35" s="1352" t="str">
        <f t="shared" si="11"/>
        <v>市政基础设施</v>
      </c>
      <c r="R35" s="705" t="s">
        <v>14</v>
      </c>
      <c r="S35" s="706">
        <f t="shared" si="12"/>
        <v>100</v>
      </c>
      <c r="T35" s="705" t="s">
        <v>14</v>
      </c>
      <c r="U35" s="706">
        <f t="shared" si="13"/>
        <v>100</v>
      </c>
      <c r="V35" s="705" t="s">
        <v>14</v>
      </c>
      <c r="W35" s="706">
        <f t="shared" si="14"/>
        <v>100</v>
      </c>
      <c r="X35" s="1355"/>
      <c r="Y35" s="366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4"/>
      <c r="Q36" s="1352" t="str">
        <f t="shared" si="11"/>
        <v>内部装修</v>
      </c>
      <c r="R36" s="705" t="s">
        <v>14</v>
      </c>
      <c r="S36" s="706">
        <f t="shared" si="12"/>
        <v>100</v>
      </c>
      <c r="T36" s="705" t="s">
        <v>14</v>
      </c>
      <c r="U36" s="706">
        <f t="shared" si="13"/>
        <v>100</v>
      </c>
      <c r="V36" s="705" t="s">
        <v>14</v>
      </c>
      <c r="W36" s="706">
        <f t="shared" si="14"/>
        <v>100</v>
      </c>
      <c r="X36" s="1355"/>
      <c r="Y36" s="366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4"/>
      <c r="Q37" s="1352" t="str">
        <f t="shared" si="11"/>
        <v>内部装修状况</v>
      </c>
      <c r="R37" s="705" t="s">
        <v>14</v>
      </c>
      <c r="S37" s="706">
        <f t="shared" si="12"/>
        <v>100</v>
      </c>
      <c r="T37" s="705" t="s">
        <v>14</v>
      </c>
      <c r="U37" s="706">
        <f t="shared" si="13"/>
        <v>100</v>
      </c>
      <c r="V37" s="705" t="s">
        <v>14</v>
      </c>
      <c r="W37" s="706">
        <f t="shared" si="14"/>
        <v>100</v>
      </c>
      <c r="X37" s="1355"/>
      <c r="Y37" s="366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4"/>
      <c r="Q38" s="707">
        <f t="shared" si="11"/>
        <v>111</v>
      </c>
      <c r="R38" s="708" t="s">
        <v>14</v>
      </c>
      <c r="S38" s="709">
        <f t="shared" si="12"/>
        <v>100</v>
      </c>
      <c r="T38" s="708" t="s">
        <v>14</v>
      </c>
      <c r="U38" s="709">
        <f t="shared" si="13"/>
        <v>100</v>
      </c>
      <c r="V38" s="708" t="s">
        <v>14</v>
      </c>
      <c r="W38" s="709">
        <f t="shared" si="14"/>
        <v>100</v>
      </c>
      <c r="X38" s="710"/>
      <c r="Y38" s="366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4"/>
      <c r="Q39" s="1352">
        <f t="shared" si="11"/>
        <v>111</v>
      </c>
      <c r="R39" s="705" t="s">
        <v>14</v>
      </c>
      <c r="S39" s="706">
        <f t="shared" si="12"/>
        <v>100</v>
      </c>
      <c r="T39" s="705" t="s">
        <v>14</v>
      </c>
      <c r="U39" s="706">
        <f t="shared" si="13"/>
        <v>100</v>
      </c>
      <c r="V39" s="705" t="s">
        <v>14</v>
      </c>
      <c r="W39" s="706">
        <f t="shared" si="14"/>
        <v>100</v>
      </c>
      <c r="X39" s="1355"/>
      <c r="Y39" s="366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6" t="str">
        <f>A41</f>
        <v>成交单价（元/平方米）</v>
      </c>
      <c r="Q41" s="3656"/>
      <c r="R41" s="3657">
        <f>E41</f>
        <v>0</v>
      </c>
      <c r="S41" s="3657"/>
      <c r="T41" s="3657">
        <f>G41</f>
        <v>0</v>
      </c>
      <c r="U41" s="3657"/>
      <c r="V41" s="3657">
        <f>I41</f>
        <v>0</v>
      </c>
      <c r="W41" s="365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8" t="str">
        <f>A43</f>
        <v>估价对象XX用房的比较价值（楼面单价，元/平方米）</v>
      </c>
      <c r="Q43" s="3659"/>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6"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6"/>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6"/>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1" t="s">
        <v>1691</v>
      </c>
      <c r="Q14" s="1352" t="str">
        <f t="shared" si="6"/>
        <v>交通便捷度</v>
      </c>
      <c r="R14" s="705" t="s">
        <v>14</v>
      </c>
      <c r="S14" s="706">
        <f t="shared" si="0"/>
        <v>100</v>
      </c>
      <c r="T14" s="705" t="s">
        <v>14</v>
      </c>
      <c r="U14" s="706">
        <f t="shared" si="1"/>
        <v>100</v>
      </c>
      <c r="V14" s="705" t="s">
        <v>14</v>
      </c>
      <c r="W14" s="706">
        <f t="shared" si="2"/>
        <v>100</v>
      </c>
      <c r="X14" s="1355"/>
      <c r="Y14" s="366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2"/>
      <c r="Q15" s="1352"/>
      <c r="R15" s="705"/>
      <c r="S15" s="706"/>
      <c r="T15" s="705"/>
      <c r="U15" s="706"/>
      <c r="V15" s="705"/>
      <c r="W15" s="706"/>
      <c r="X15" s="1355"/>
      <c r="Y15" s="3662"/>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2"/>
      <c r="Q17" s="1352"/>
      <c r="R17" s="705"/>
      <c r="S17" s="706"/>
      <c r="T17" s="705"/>
      <c r="U17" s="706"/>
      <c r="V17" s="705"/>
      <c r="W17" s="706"/>
      <c r="X17" s="1355"/>
      <c r="Y17" s="366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2"/>
      <c r="Q19" s="1352"/>
      <c r="R19" s="705"/>
      <c r="S19" s="706"/>
      <c r="T19" s="705"/>
      <c r="U19" s="706"/>
      <c r="V19" s="705"/>
      <c r="W19" s="706"/>
      <c r="X19" s="1355"/>
      <c r="Y19" s="3662"/>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2"/>
      <c r="Q21" s="1352"/>
      <c r="R21" s="705"/>
      <c r="S21" s="706"/>
      <c r="T21" s="705"/>
      <c r="U21" s="706"/>
      <c r="V21" s="705"/>
      <c r="W21" s="706"/>
      <c r="X21" s="1355"/>
      <c r="Y21" s="366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6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4"/>
      <c r="Q27" s="707" t="str">
        <f t="shared" si="11"/>
        <v>成新率</v>
      </c>
      <c r="R27" s="708" t="s">
        <v>14</v>
      </c>
      <c r="S27" s="709" t="e">
        <f t="shared" si="12"/>
        <v>#N/A</v>
      </c>
      <c r="T27" s="708" t="s">
        <v>14</v>
      </c>
      <c r="U27" s="709" t="e">
        <f t="shared" si="13"/>
        <v>#N/A</v>
      </c>
      <c r="V27" s="708" t="s">
        <v>14</v>
      </c>
      <c r="W27" s="709" t="e">
        <f t="shared" si="14"/>
        <v>#N/A</v>
      </c>
      <c r="X27" s="710"/>
      <c r="Y27" s="366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4"/>
      <c r="Q28" s="1352" t="str">
        <f t="shared" si="11"/>
        <v>物业等级</v>
      </c>
      <c r="R28" s="705" t="s">
        <v>14</v>
      </c>
      <c r="S28" s="706">
        <f t="shared" si="12"/>
        <v>100</v>
      </c>
      <c r="T28" s="705" t="s">
        <v>14</v>
      </c>
      <c r="U28" s="706">
        <f t="shared" si="13"/>
        <v>100</v>
      </c>
      <c r="V28" s="705" t="s">
        <v>14</v>
      </c>
      <c r="W28" s="706">
        <f t="shared" si="14"/>
        <v>100</v>
      </c>
      <c r="X28" s="1355"/>
      <c r="Y28" s="366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4"/>
      <c r="Q29" s="1352" t="str">
        <f t="shared" si="11"/>
        <v>有无电梯</v>
      </c>
      <c r="R29" s="705" t="s">
        <v>14</v>
      </c>
      <c r="S29" s="706">
        <f t="shared" si="12"/>
        <v>100</v>
      </c>
      <c r="T29" s="705" t="s">
        <v>14</v>
      </c>
      <c r="U29" s="706">
        <f t="shared" si="13"/>
        <v>100</v>
      </c>
      <c r="V29" s="705" t="s">
        <v>14</v>
      </c>
      <c r="W29" s="706">
        <f t="shared" si="14"/>
        <v>100</v>
      </c>
      <c r="X29" s="1355"/>
      <c r="Y29" s="366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4"/>
      <c r="Q30" s="1352" t="str">
        <f t="shared" si="11"/>
        <v>建筑面积</v>
      </c>
      <c r="R30" s="705" t="s">
        <v>14</v>
      </c>
      <c r="S30" s="706" t="e">
        <f t="shared" si="12"/>
        <v>#N/A</v>
      </c>
      <c r="T30" s="705" t="s">
        <v>14</v>
      </c>
      <c r="U30" s="706" t="e">
        <f t="shared" si="13"/>
        <v>#N/A</v>
      </c>
      <c r="V30" s="705" t="s">
        <v>14</v>
      </c>
      <c r="W30" s="706" t="e">
        <f t="shared" si="14"/>
        <v>#N/A</v>
      </c>
      <c r="X30" s="1355"/>
      <c r="Y30" s="366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4"/>
      <c r="Q31" s="1343" t="str">
        <f t="shared" si="11"/>
        <v>是否封闭</v>
      </c>
      <c r="R31" s="701" t="s">
        <v>14</v>
      </c>
      <c r="S31" s="702">
        <f t="shared" si="12"/>
        <v>100</v>
      </c>
      <c r="T31" s="701" t="s">
        <v>14</v>
      </c>
      <c r="U31" s="702">
        <f t="shared" si="13"/>
        <v>100</v>
      </c>
      <c r="V31" s="701" t="s">
        <v>14</v>
      </c>
      <c r="W31" s="702">
        <f t="shared" si="14"/>
        <v>100</v>
      </c>
      <c r="X31" s="703"/>
      <c r="Y31" s="366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4" t="s">
        <v>1696</v>
      </c>
      <c r="Q32" s="1352">
        <f t="shared" si="11"/>
        <v>111</v>
      </c>
      <c r="R32" s="705" t="s">
        <v>14</v>
      </c>
      <c r="S32" s="706">
        <f t="shared" si="12"/>
        <v>100</v>
      </c>
      <c r="T32" s="705" t="s">
        <v>14</v>
      </c>
      <c r="U32" s="706">
        <f t="shared" si="13"/>
        <v>100</v>
      </c>
      <c r="V32" s="705" t="s">
        <v>14</v>
      </c>
      <c r="W32" s="706">
        <f t="shared" si="14"/>
        <v>100</v>
      </c>
      <c r="X32" s="1355"/>
      <c r="Y32" s="366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4"/>
      <c r="Q33" s="1352">
        <f t="shared" si="11"/>
        <v>111</v>
      </c>
      <c r="R33" s="705" t="s">
        <v>14</v>
      </c>
      <c r="S33" s="706">
        <f t="shared" si="12"/>
        <v>100</v>
      </c>
      <c r="T33" s="705" t="s">
        <v>14</v>
      </c>
      <c r="U33" s="706">
        <f t="shared" si="13"/>
        <v>100</v>
      </c>
      <c r="V33" s="705" t="s">
        <v>14</v>
      </c>
      <c r="W33" s="706">
        <f t="shared" si="14"/>
        <v>100</v>
      </c>
      <c r="X33" s="1355"/>
      <c r="Y33" s="366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64"/>
      <c r="Q34" s="1352">
        <f t="shared" si="11"/>
        <v>111</v>
      </c>
      <c r="R34" s="705" t="s">
        <v>14</v>
      </c>
      <c r="S34" s="706">
        <f t="shared" si="12"/>
        <v>100</v>
      </c>
      <c r="T34" s="705" t="s">
        <v>14</v>
      </c>
      <c r="U34" s="706">
        <f t="shared" si="13"/>
        <v>100</v>
      </c>
      <c r="V34" s="705" t="s">
        <v>14</v>
      </c>
      <c r="W34" s="706">
        <f t="shared" si="14"/>
        <v>100</v>
      </c>
      <c r="X34" s="1355"/>
      <c r="Y34" s="366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56" t="str">
        <f>A35</f>
        <v>成交单价（元/平方米）</v>
      </c>
      <c r="Q35" s="3656"/>
      <c r="R35" s="3657">
        <f>E35</f>
        <v>0</v>
      </c>
      <c r="S35" s="3657"/>
      <c r="T35" s="3657">
        <f>G35</f>
        <v>0</v>
      </c>
      <c r="U35" s="3657"/>
      <c r="V35" s="3657">
        <f>I35</f>
        <v>0</v>
      </c>
      <c r="W35" s="365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58" t="str">
        <f>A37</f>
        <v>估价对象XX用房的比较价值（楼面单价，元/平方米）</v>
      </c>
      <c r="Q37" s="3659"/>
      <c r="R37" s="3660" t="e">
        <f>IF(F1="售价",ROUND(IF(D36="简单平均",AVERAGE(R36:W36),R36*F36+T36*H36+V36*J36),0),ROUND(IF(D36="简单平均",AVERAGE(R36:V36),R36*F36+T36*H36+V36*J36),1))</f>
        <v>#DIV/0!</v>
      </c>
      <c r="S37" s="3660"/>
      <c r="T37" s="3660"/>
      <c r="U37" s="3660"/>
      <c r="V37" s="3660"/>
      <c r="W37" s="366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30"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30" ht="15.75" thickBot="1">
      <c r="A6" s="360"/>
      <c r="B6" s="361"/>
      <c r="C6" s="3685" t="s">
        <v>1677</v>
      </c>
      <c r="D6" s="3686"/>
      <c r="E6" s="3692" t="s">
        <v>1677</v>
      </c>
      <c r="F6" s="3693"/>
      <c r="G6" s="3685" t="s">
        <v>1677</v>
      </c>
      <c r="H6" s="3686"/>
      <c r="I6" s="3685" t="s">
        <v>1677</v>
      </c>
      <c r="J6" s="3686"/>
      <c r="K6" s="559" t="s">
        <v>1678</v>
      </c>
      <c r="L6" s="2713"/>
      <c r="M6" s="2714"/>
      <c r="N6" s="2714"/>
      <c r="O6" s="2714"/>
      <c r="P6" s="3676"/>
      <c r="Q6" s="3677"/>
      <c r="R6" s="3680"/>
      <c r="S6" s="3681"/>
      <c r="T6" s="3682"/>
      <c r="U6" s="3683"/>
      <c r="V6" s="3684"/>
      <c r="W6" s="3684"/>
      <c r="X6" s="1355"/>
      <c r="Y6" s="3682"/>
      <c r="Z6" s="3683"/>
      <c r="AA6" s="3667"/>
      <c r="AB6" s="3667"/>
      <c r="AC6" s="3667"/>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56"/>
      <c r="Q10" s="1343" t="str">
        <f t="shared" si="6"/>
        <v>土地使用年限（年）</v>
      </c>
      <c r="R10" s="701" t="s">
        <v>14</v>
      </c>
      <c r="S10" s="702">
        <f t="shared" si="0"/>
        <v>113</v>
      </c>
      <c r="T10" s="701" t="s">
        <v>14</v>
      </c>
      <c r="U10" s="702">
        <f t="shared" si="1"/>
        <v>113</v>
      </c>
      <c r="V10" s="701" t="s">
        <v>14</v>
      </c>
      <c r="W10" s="702">
        <f t="shared" si="2"/>
        <v>113</v>
      </c>
      <c r="X10" s="703"/>
      <c r="Y10" s="3555"/>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6"/>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1" t="s">
        <v>1691</v>
      </c>
      <c r="Q15" s="1352" t="str">
        <f t="shared" si="6"/>
        <v>居住社区成熟度</v>
      </c>
      <c r="R15" s="705" t="s">
        <v>14</v>
      </c>
      <c r="S15" s="706">
        <f t="shared" si="0"/>
        <v>100</v>
      </c>
      <c r="T15" s="705" t="s">
        <v>14</v>
      </c>
      <c r="U15" s="706">
        <f t="shared" si="1"/>
        <v>100</v>
      </c>
      <c r="V15" s="705" t="s">
        <v>14</v>
      </c>
      <c r="W15" s="706">
        <f t="shared" si="2"/>
        <v>100</v>
      </c>
      <c r="X15" s="1355"/>
      <c r="Y15" s="366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2"/>
      <c r="Q16" s="1352"/>
      <c r="R16" s="705"/>
      <c r="S16" s="706"/>
      <c r="T16" s="705"/>
      <c r="U16" s="706"/>
      <c r="V16" s="705"/>
      <c r="W16" s="706"/>
      <c r="X16" s="1355"/>
      <c r="Y16" s="3662"/>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2"/>
      <c r="Q18" s="1352"/>
      <c r="R18" s="705"/>
      <c r="S18" s="706"/>
      <c r="T18" s="705"/>
      <c r="U18" s="706"/>
      <c r="V18" s="705"/>
      <c r="W18" s="706"/>
      <c r="X18" s="1355"/>
      <c r="Y18" s="3662"/>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2"/>
      <c r="Q20" s="1352"/>
      <c r="R20" s="705"/>
      <c r="S20" s="706"/>
      <c r="T20" s="705"/>
      <c r="U20" s="706"/>
      <c r="V20" s="705"/>
      <c r="W20" s="706"/>
      <c r="X20" s="1355"/>
      <c r="Y20" s="3662"/>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2"/>
      <c r="Q22" s="1352"/>
      <c r="R22" s="705"/>
      <c r="S22" s="706"/>
      <c r="T22" s="705"/>
      <c r="U22" s="706"/>
      <c r="V22" s="705"/>
      <c r="W22" s="706"/>
      <c r="X22" s="1355"/>
      <c r="Y22" s="366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2"/>
      <c r="Q24" s="1352"/>
      <c r="R24" s="705"/>
      <c r="S24" s="706"/>
      <c r="T24" s="705"/>
      <c r="U24" s="706"/>
      <c r="V24" s="705"/>
      <c r="W24" s="706"/>
      <c r="X24" s="1355"/>
      <c r="Y24" s="3662"/>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2"/>
      <c r="Q26" s="1352"/>
      <c r="R26" s="705"/>
      <c r="S26" s="706"/>
      <c r="T26" s="705"/>
      <c r="U26" s="706"/>
      <c r="V26" s="705"/>
      <c r="W26" s="706"/>
      <c r="X26" s="1355"/>
      <c r="Y26" s="3662"/>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2"/>
      <c r="Q28" s="1343"/>
      <c r="R28" s="701"/>
      <c r="S28" s="702"/>
      <c r="T28" s="701"/>
      <c r="U28" s="702"/>
      <c r="V28" s="701"/>
      <c r="W28" s="702"/>
      <c r="X28" s="703"/>
      <c r="Y28" s="366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2"/>
      <c r="Q30" s="1343"/>
      <c r="R30" s="701"/>
      <c r="S30" s="702"/>
      <c r="T30" s="701"/>
      <c r="U30" s="702"/>
      <c r="V30" s="701"/>
      <c r="W30" s="702"/>
      <c r="X30" s="703"/>
      <c r="Y30" s="366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2"/>
      <c r="Q33" s="1352"/>
      <c r="R33" s="705"/>
      <c r="S33" s="706"/>
      <c r="T33" s="705"/>
      <c r="U33" s="706"/>
      <c r="V33" s="705"/>
      <c r="W33" s="706"/>
      <c r="X33" s="1355"/>
      <c r="Y33" s="366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63" t="s">
        <v>1696</v>
      </c>
      <c r="Q36" s="1352">
        <f t="shared" si="8"/>
        <v>111</v>
      </c>
      <c r="R36" s="705" t="s">
        <v>14</v>
      </c>
      <c r="S36" s="706">
        <f t="shared" si="10"/>
        <v>100</v>
      </c>
      <c r="T36" s="705" t="s">
        <v>14</v>
      </c>
      <c r="U36" s="706">
        <f t="shared" si="11"/>
        <v>100</v>
      </c>
      <c r="V36" s="705" t="s">
        <v>14</v>
      </c>
      <c r="W36" s="706">
        <f t="shared" si="12"/>
        <v>100</v>
      </c>
      <c r="X36" s="1355"/>
      <c r="Y36" s="366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4"/>
      <c r="Q37" s="1352">
        <f t="shared" si="8"/>
        <v>111</v>
      </c>
      <c r="R37" s="708" t="s">
        <v>14</v>
      </c>
      <c r="S37" s="709">
        <f t="shared" si="10"/>
        <v>100</v>
      </c>
      <c r="T37" s="708" t="s">
        <v>14</v>
      </c>
      <c r="U37" s="709">
        <f t="shared" si="11"/>
        <v>100</v>
      </c>
      <c r="V37" s="708" t="s">
        <v>14</v>
      </c>
      <c r="W37" s="709">
        <f t="shared" si="12"/>
        <v>100</v>
      </c>
      <c r="X37" s="710"/>
      <c r="Y37" s="366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4"/>
      <c r="Q38" s="1352" t="str">
        <f>B38</f>
        <v>宗地面积</v>
      </c>
      <c r="R38" s="705" t="s">
        <v>14</v>
      </c>
      <c r="S38" s="706" t="e">
        <f t="shared" si="10"/>
        <v>#N/A</v>
      </c>
      <c r="T38" s="705" t="s">
        <v>14</v>
      </c>
      <c r="U38" s="706" t="e">
        <f t="shared" si="11"/>
        <v>#N/A</v>
      </c>
      <c r="V38" s="705" t="s">
        <v>14</v>
      </c>
      <c r="W38" s="706" t="e">
        <f t="shared" si="12"/>
        <v>#N/A</v>
      </c>
      <c r="X38" s="1355"/>
      <c r="Y38" s="366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64"/>
      <c r="Q39" s="1352" t="str">
        <f t="shared" ref="Q39:Q45" si="14">B39</f>
        <v>宗地形状</v>
      </c>
      <c r="R39" s="705" t="s">
        <v>14</v>
      </c>
      <c r="S39" s="706">
        <f t="shared" si="10"/>
        <v>100</v>
      </c>
      <c r="T39" s="705" t="s">
        <v>14</v>
      </c>
      <c r="U39" s="706">
        <f t="shared" si="11"/>
        <v>100</v>
      </c>
      <c r="V39" s="705" t="s">
        <v>14</v>
      </c>
      <c r="W39" s="706">
        <f t="shared" si="12"/>
        <v>100</v>
      </c>
      <c r="X39" s="1355"/>
      <c r="Y39" s="366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64"/>
      <c r="Q40" s="1352" t="str">
        <f t="shared" si="14"/>
        <v>临街宽度及深度</v>
      </c>
      <c r="R40" s="705" t="s">
        <v>14</v>
      </c>
      <c r="S40" s="706">
        <f t="shared" si="10"/>
        <v>100</v>
      </c>
      <c r="T40" s="705" t="s">
        <v>14</v>
      </c>
      <c r="U40" s="706">
        <f t="shared" si="11"/>
        <v>100</v>
      </c>
      <c r="V40" s="705" t="s">
        <v>14</v>
      </c>
      <c r="W40" s="706">
        <f t="shared" si="12"/>
        <v>100</v>
      </c>
      <c r="X40" s="1355"/>
      <c r="Y40" s="366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64"/>
      <c r="Q41" s="1352" t="str">
        <f t="shared" si="14"/>
        <v>宗地开发程度</v>
      </c>
      <c r="R41" s="701" t="s">
        <v>14</v>
      </c>
      <c r="S41" s="702">
        <f t="shared" si="10"/>
        <v>100</v>
      </c>
      <c r="T41" s="701" t="s">
        <v>14</v>
      </c>
      <c r="U41" s="702">
        <f t="shared" si="11"/>
        <v>100</v>
      </c>
      <c r="V41" s="701" t="s">
        <v>14</v>
      </c>
      <c r="W41" s="702">
        <f t="shared" si="12"/>
        <v>100</v>
      </c>
      <c r="X41" s="703"/>
      <c r="Y41" s="366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64" t="s">
        <v>1696</v>
      </c>
      <c r="Q42" s="1352" t="str">
        <f t="shared" si="14"/>
        <v>工程地质条件</v>
      </c>
      <c r="R42" s="705" t="s">
        <v>14</v>
      </c>
      <c r="S42" s="706">
        <f t="shared" si="10"/>
        <v>100</v>
      </c>
      <c r="T42" s="705" t="s">
        <v>14</v>
      </c>
      <c r="U42" s="706">
        <f t="shared" si="11"/>
        <v>100</v>
      </c>
      <c r="V42" s="705" t="s">
        <v>14</v>
      </c>
      <c r="W42" s="706">
        <f t="shared" si="12"/>
        <v>100</v>
      </c>
      <c r="X42" s="1355"/>
      <c r="Y42" s="366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4"/>
      <c r="Q43" s="1352">
        <f t="shared" si="14"/>
        <v>111</v>
      </c>
      <c r="R43" s="705" t="s">
        <v>14</v>
      </c>
      <c r="S43" s="706">
        <f t="shared" si="10"/>
        <v>100</v>
      </c>
      <c r="T43" s="705" t="s">
        <v>14</v>
      </c>
      <c r="U43" s="706">
        <f t="shared" si="11"/>
        <v>100</v>
      </c>
      <c r="V43" s="705" t="s">
        <v>14</v>
      </c>
      <c r="W43" s="706">
        <f t="shared" si="12"/>
        <v>100</v>
      </c>
      <c r="X43" s="1355"/>
      <c r="Y43" s="366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4"/>
      <c r="Q44" s="1352">
        <f t="shared" si="14"/>
        <v>111</v>
      </c>
      <c r="R44" s="705" t="s">
        <v>14</v>
      </c>
      <c r="S44" s="706">
        <f t="shared" si="10"/>
        <v>100</v>
      </c>
      <c r="T44" s="705" t="s">
        <v>14</v>
      </c>
      <c r="U44" s="706">
        <f t="shared" si="11"/>
        <v>100</v>
      </c>
      <c r="V44" s="705" t="s">
        <v>14</v>
      </c>
      <c r="W44" s="706">
        <f t="shared" si="12"/>
        <v>100</v>
      </c>
      <c r="X44" s="1355"/>
      <c r="Y44" s="366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4"/>
      <c r="Q45" s="1352">
        <f t="shared" si="14"/>
        <v>111</v>
      </c>
      <c r="R45" s="708" t="s">
        <v>14</v>
      </c>
      <c r="S45" s="709">
        <f t="shared" si="10"/>
        <v>100</v>
      </c>
      <c r="T45" s="708" t="s">
        <v>14</v>
      </c>
      <c r="U45" s="709">
        <f t="shared" si="11"/>
        <v>100</v>
      </c>
      <c r="V45" s="708" t="s">
        <v>14</v>
      </c>
      <c r="W45" s="709">
        <f t="shared" si="12"/>
        <v>100</v>
      </c>
      <c r="X45" s="710"/>
      <c r="Y45" s="366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56" t="str">
        <f>A46</f>
        <v>成交单价</v>
      </c>
      <c r="Q46" s="3656"/>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56" t="str">
        <f>A47</f>
        <v>比较价值（元/平方米）</v>
      </c>
      <c r="Q47" s="3656"/>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58" t="str">
        <f>A48</f>
        <v>估价对象XX用房的比较价值（楼面单价，元/平方米）</v>
      </c>
      <c r="Q48" s="3659"/>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8" t="s">
        <v>1887</v>
      </c>
      <c r="H55" s="374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24"/>
      <c r="H56" s="365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725" t="s">
        <v>1673</v>
      </c>
      <c r="D5" s="3688"/>
      <c r="E5" s="3726" t="s">
        <v>1674</v>
      </c>
      <c r="F5" s="3695"/>
      <c r="G5" s="3725" t="s">
        <v>1675</v>
      </c>
      <c r="H5" s="3688"/>
      <c r="I5" s="3725" t="s">
        <v>1676</v>
      </c>
      <c r="J5" s="3688"/>
      <c r="K5" s="559"/>
      <c r="L5" s="2713"/>
      <c r="M5" s="2714"/>
      <c r="N5" s="2714"/>
      <c r="O5" s="2714"/>
      <c r="P5" s="3674"/>
      <c r="Q5" s="3675"/>
      <c r="R5" s="3680"/>
      <c r="S5" s="3681"/>
      <c r="T5" s="3680"/>
      <c r="U5" s="3681"/>
      <c r="V5" s="3684"/>
      <c r="W5" s="3684"/>
      <c r="X5" s="1355"/>
      <c r="Y5" s="3680"/>
      <c r="Z5" s="3681"/>
      <c r="AA5" s="3666"/>
      <c r="AB5" s="3666"/>
      <c r="AC5" s="3666"/>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56"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56"/>
      <c r="Q10" s="1343" t="str">
        <f t="shared" si="6"/>
        <v>土地使用年限（年）</v>
      </c>
      <c r="R10" s="701" t="s">
        <v>14</v>
      </c>
      <c r="S10" s="702">
        <f t="shared" si="0"/>
        <v>113</v>
      </c>
      <c r="T10" s="701" t="s">
        <v>14</v>
      </c>
      <c r="U10" s="702">
        <f t="shared" si="1"/>
        <v>113</v>
      </c>
      <c r="V10" s="701" t="s">
        <v>14</v>
      </c>
      <c r="W10" s="702">
        <f t="shared" si="2"/>
        <v>113</v>
      </c>
      <c r="X10" s="703"/>
      <c r="Y10" s="3555"/>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6"/>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6"/>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6"/>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6"/>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1" t="s">
        <v>1691</v>
      </c>
      <c r="Q15" s="1352" t="str">
        <f t="shared" si="6"/>
        <v>产业集聚程度</v>
      </c>
      <c r="R15" s="705" t="s">
        <v>14</v>
      </c>
      <c r="S15" s="706">
        <f t="shared" si="0"/>
        <v>100</v>
      </c>
      <c r="T15" s="705" t="s">
        <v>14</v>
      </c>
      <c r="U15" s="706">
        <f t="shared" si="1"/>
        <v>100</v>
      </c>
      <c r="V15" s="705" t="s">
        <v>14</v>
      </c>
      <c r="W15" s="706">
        <f t="shared" si="2"/>
        <v>100</v>
      </c>
      <c r="X15" s="1355"/>
      <c r="Y15" s="366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2"/>
      <c r="Q16" s="1352"/>
      <c r="R16" s="705"/>
      <c r="S16" s="706"/>
      <c r="T16" s="705"/>
      <c r="U16" s="706"/>
      <c r="V16" s="705"/>
      <c r="W16" s="706"/>
      <c r="X16" s="1355"/>
      <c r="Y16" s="3662"/>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2"/>
      <c r="Q18" s="1352"/>
      <c r="R18" s="705"/>
      <c r="S18" s="706"/>
      <c r="T18" s="705"/>
      <c r="U18" s="706"/>
      <c r="V18" s="705"/>
      <c r="W18" s="706"/>
      <c r="X18" s="1355"/>
      <c r="Y18" s="366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2"/>
      <c r="Q20" s="1352"/>
      <c r="R20" s="705"/>
      <c r="S20" s="706"/>
      <c r="T20" s="705"/>
      <c r="U20" s="706"/>
      <c r="V20" s="705"/>
      <c r="W20" s="706"/>
      <c r="X20" s="1355"/>
      <c r="Y20" s="3662"/>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2"/>
      <c r="Q22" s="1352"/>
      <c r="R22" s="705"/>
      <c r="S22" s="706"/>
      <c r="T22" s="705"/>
      <c r="U22" s="706"/>
      <c r="V22" s="705"/>
      <c r="W22" s="706"/>
      <c r="X22" s="1355"/>
      <c r="Y22" s="3662"/>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2"/>
      <c r="Q24" s="1343"/>
      <c r="R24" s="701"/>
      <c r="S24" s="702"/>
      <c r="T24" s="701"/>
      <c r="U24" s="702"/>
      <c r="V24" s="701"/>
      <c r="W24" s="702"/>
      <c r="X24" s="703"/>
      <c r="Y24" s="3662"/>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2"/>
      <c r="Q26" s="1343"/>
      <c r="R26" s="701"/>
      <c r="S26" s="702"/>
      <c r="T26" s="701"/>
      <c r="U26" s="702"/>
      <c r="V26" s="701"/>
      <c r="W26" s="702"/>
      <c r="X26" s="703"/>
      <c r="Y26" s="36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2"/>
      <c r="Q29" s="1352"/>
      <c r="R29" s="705"/>
      <c r="S29" s="706"/>
      <c r="T29" s="705"/>
      <c r="U29" s="706"/>
      <c r="V29" s="705"/>
      <c r="W29" s="706"/>
      <c r="X29" s="1355"/>
      <c r="Y29" s="366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63" t="s">
        <v>1696</v>
      </c>
      <c r="Q32" s="1352">
        <f t="shared" si="8"/>
        <v>111</v>
      </c>
      <c r="R32" s="705" t="s">
        <v>14</v>
      </c>
      <c r="S32" s="706">
        <f t="shared" si="10"/>
        <v>100</v>
      </c>
      <c r="T32" s="705" t="s">
        <v>14</v>
      </c>
      <c r="U32" s="706">
        <f t="shared" si="11"/>
        <v>100</v>
      </c>
      <c r="V32" s="705" t="s">
        <v>14</v>
      </c>
      <c r="W32" s="706">
        <f t="shared" si="12"/>
        <v>100</v>
      </c>
      <c r="X32" s="1355"/>
      <c r="Y32" s="366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4"/>
      <c r="Q33" s="1352">
        <f t="shared" si="8"/>
        <v>111</v>
      </c>
      <c r="R33" s="708" t="s">
        <v>14</v>
      </c>
      <c r="S33" s="709">
        <f t="shared" si="10"/>
        <v>100</v>
      </c>
      <c r="T33" s="708" t="s">
        <v>14</v>
      </c>
      <c r="U33" s="709">
        <f t="shared" si="11"/>
        <v>100</v>
      </c>
      <c r="V33" s="708" t="s">
        <v>14</v>
      </c>
      <c r="W33" s="709">
        <f t="shared" si="12"/>
        <v>100</v>
      </c>
      <c r="X33" s="710"/>
      <c r="Y33" s="366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4"/>
      <c r="Q34" s="1352" t="str">
        <f>B34</f>
        <v>宗地面积</v>
      </c>
      <c r="R34" s="705" t="s">
        <v>14</v>
      </c>
      <c r="S34" s="706" t="e">
        <f t="shared" si="10"/>
        <v>#N/A</v>
      </c>
      <c r="T34" s="705" t="s">
        <v>14</v>
      </c>
      <c r="U34" s="706" t="e">
        <f t="shared" si="11"/>
        <v>#N/A</v>
      </c>
      <c r="V34" s="705" t="s">
        <v>14</v>
      </c>
      <c r="W34" s="706" t="e">
        <f t="shared" si="12"/>
        <v>#N/A</v>
      </c>
      <c r="X34" s="1355"/>
      <c r="Y34" s="366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64"/>
      <c r="Q35" s="1352" t="str">
        <f t="shared" ref="Q35:Q40" si="14">B35</f>
        <v>宗地形状</v>
      </c>
      <c r="R35" s="705" t="s">
        <v>14</v>
      </c>
      <c r="S35" s="706">
        <f t="shared" si="10"/>
        <v>100</v>
      </c>
      <c r="T35" s="705" t="s">
        <v>14</v>
      </c>
      <c r="U35" s="706">
        <f t="shared" si="11"/>
        <v>100</v>
      </c>
      <c r="V35" s="705" t="s">
        <v>14</v>
      </c>
      <c r="W35" s="706">
        <f t="shared" si="12"/>
        <v>100</v>
      </c>
      <c r="X35" s="1355"/>
      <c r="Y35" s="366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64"/>
      <c r="Q36" s="1352" t="str">
        <f t="shared" si="14"/>
        <v>宗地开发程度</v>
      </c>
      <c r="R36" s="701" t="s">
        <v>14</v>
      </c>
      <c r="S36" s="702">
        <f t="shared" si="10"/>
        <v>100</v>
      </c>
      <c r="T36" s="701" t="s">
        <v>14</v>
      </c>
      <c r="U36" s="702">
        <f t="shared" si="11"/>
        <v>100</v>
      </c>
      <c r="V36" s="701" t="s">
        <v>14</v>
      </c>
      <c r="W36" s="702">
        <f t="shared" si="12"/>
        <v>100</v>
      </c>
      <c r="X36" s="703"/>
      <c r="Y36" s="366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64" t="s">
        <v>1696</v>
      </c>
      <c r="Q37" s="1352" t="str">
        <f t="shared" si="14"/>
        <v>工程地质条件</v>
      </c>
      <c r="R37" s="705" t="s">
        <v>14</v>
      </c>
      <c r="S37" s="706">
        <f t="shared" si="10"/>
        <v>100</v>
      </c>
      <c r="T37" s="705" t="s">
        <v>14</v>
      </c>
      <c r="U37" s="706">
        <f t="shared" si="11"/>
        <v>100</v>
      </c>
      <c r="V37" s="705" t="s">
        <v>14</v>
      </c>
      <c r="W37" s="706">
        <f t="shared" si="12"/>
        <v>100</v>
      </c>
      <c r="X37" s="1355"/>
      <c r="Y37" s="366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4"/>
      <c r="Q38" s="1352">
        <f t="shared" si="14"/>
        <v>111</v>
      </c>
      <c r="R38" s="705" t="s">
        <v>14</v>
      </c>
      <c r="S38" s="706">
        <f t="shared" si="10"/>
        <v>100</v>
      </c>
      <c r="T38" s="705" t="s">
        <v>14</v>
      </c>
      <c r="U38" s="706">
        <f t="shared" si="11"/>
        <v>100</v>
      </c>
      <c r="V38" s="705" t="s">
        <v>14</v>
      </c>
      <c r="W38" s="706">
        <f t="shared" si="12"/>
        <v>100</v>
      </c>
      <c r="X38" s="1355"/>
      <c r="Y38" s="366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4"/>
      <c r="Q39" s="1352">
        <f t="shared" si="14"/>
        <v>111</v>
      </c>
      <c r="R39" s="705" t="s">
        <v>14</v>
      </c>
      <c r="S39" s="706">
        <f t="shared" si="10"/>
        <v>100</v>
      </c>
      <c r="T39" s="705" t="s">
        <v>14</v>
      </c>
      <c r="U39" s="706">
        <f t="shared" si="11"/>
        <v>100</v>
      </c>
      <c r="V39" s="705" t="s">
        <v>14</v>
      </c>
      <c r="W39" s="706">
        <f t="shared" si="12"/>
        <v>100</v>
      </c>
      <c r="X39" s="1355"/>
      <c r="Y39" s="366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4"/>
      <c r="Q40" s="1352">
        <f t="shared" si="14"/>
        <v>111</v>
      </c>
      <c r="R40" s="708" t="s">
        <v>14</v>
      </c>
      <c r="S40" s="709">
        <f t="shared" si="10"/>
        <v>100</v>
      </c>
      <c r="T40" s="708" t="s">
        <v>14</v>
      </c>
      <c r="U40" s="709">
        <f t="shared" si="11"/>
        <v>100</v>
      </c>
      <c r="V40" s="708" t="s">
        <v>14</v>
      </c>
      <c r="W40" s="709">
        <f t="shared" si="12"/>
        <v>100</v>
      </c>
      <c r="X40" s="710"/>
      <c r="Y40" s="366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56" t="str">
        <f>A41</f>
        <v>成交单价</v>
      </c>
      <c r="Q41" s="3656"/>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56" t="str">
        <f>A42</f>
        <v>比较价值（元/平方米）</v>
      </c>
      <c r="Q42" s="3656"/>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58" t="str">
        <f>A43</f>
        <v>估价对象XX用房的比较价值（楼面单价，元/平方米）</v>
      </c>
      <c r="Q43" s="3659"/>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8" t="s">
        <v>1887</v>
      </c>
      <c r="H50" s="374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24"/>
      <c r="H51" s="365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6" t="s">
        <v>3250</v>
      </c>
      <c r="B20" s="167" t="s">
        <v>1994</v>
      </c>
      <c r="C20" s="3323" t="e">
        <f>ROUND(IF(F21="与级别开发程度一致",0,(G21-E21)/C21),0)</f>
        <v>#DIV/0!</v>
      </c>
      <c r="D20" s="3339" t="s">
        <v>1998</v>
      </c>
      <c r="E20" s="3340"/>
      <c r="F20" s="3772" t="s">
        <v>1995</v>
      </c>
      <c r="G20" s="377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1"/>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3269</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3273</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3275</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3290</v>
      </c>
      <c r="B103" s="3768"/>
      <c r="C103" s="3768"/>
      <c r="D103" s="3768"/>
      <c r="E103" s="3768"/>
      <c r="F103" s="3768"/>
      <c r="G103" s="3768"/>
      <c r="H103" s="3768"/>
      <c r="I103" s="3768"/>
      <c r="J103" s="3768"/>
      <c r="K103" s="3388"/>
      <c r="L103" s="3388"/>
      <c r="M103" s="3388"/>
      <c r="N103" s="3388"/>
    </row>
    <row r="104" spans="1:14">
      <c r="A104" s="3769" t="s">
        <v>3291</v>
      </c>
      <c r="B104" s="3769" t="s">
        <v>3292</v>
      </c>
      <c r="C104" s="3389" t="s">
        <v>3293</v>
      </c>
      <c r="D104" s="3390"/>
      <c r="E104" s="3390"/>
      <c r="F104" s="3390"/>
      <c r="G104" s="3390"/>
      <c r="H104" s="3390"/>
      <c r="I104" s="3390"/>
      <c r="J104" s="3391"/>
      <c r="K104" s="3392"/>
      <c r="L104" s="3392"/>
      <c r="M104" s="3392"/>
      <c r="N104" s="3392"/>
    </row>
    <row r="105" spans="1:14">
      <c r="A105" s="3769"/>
      <c r="B105" s="376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3307</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83" t="s">
        <v>2601</v>
      </c>
      <c r="B20" s="3778" t="s">
        <v>2622</v>
      </c>
      <c r="C20" s="3101" t="s">
        <v>2433</v>
      </c>
      <c r="D20" s="3102"/>
      <c r="E20" s="3103">
        <v>1</v>
      </c>
      <c r="F20" s="3104" t="s">
        <v>2434</v>
      </c>
      <c r="G20" s="3104"/>
    </row>
    <row r="21" spans="1:13" ht="19.5" customHeight="1">
      <c r="A21" s="3784"/>
      <c r="B21" s="3777"/>
      <c r="C21" s="3105" t="s">
        <v>2435</v>
      </c>
      <c r="D21" s="3106"/>
      <c r="E21" s="3107">
        <v>1</v>
      </c>
      <c r="F21" s="3104" t="s">
        <v>2436</v>
      </c>
      <c r="G21" s="3104"/>
    </row>
    <row r="22" spans="1:13" ht="19.5" customHeight="1">
      <c r="A22" s="3784"/>
      <c r="B22" s="3777"/>
      <c r="C22" s="3105" t="s">
        <v>2437</v>
      </c>
      <c r="D22" s="3106"/>
      <c r="E22" s="3107">
        <v>0.9</v>
      </c>
      <c r="F22" s="3104" t="s">
        <v>2438</v>
      </c>
      <c r="G22" s="3104"/>
    </row>
    <row r="23" spans="1:13" ht="19.5" customHeight="1">
      <c r="A23" s="3784"/>
      <c r="B23" s="3777"/>
      <c r="C23" s="3105" t="s">
        <v>2439</v>
      </c>
      <c r="D23" s="3106"/>
      <c r="E23" s="3107">
        <v>0.9</v>
      </c>
      <c r="F23" s="3104" t="s">
        <v>2440</v>
      </c>
      <c r="G23" s="3104"/>
    </row>
    <row r="24" spans="1:13" ht="19.5" customHeight="1">
      <c r="A24" s="3784"/>
      <c r="B24" s="3777"/>
      <c r="C24" s="3105" t="s">
        <v>2441</v>
      </c>
      <c r="D24" s="3106"/>
      <c r="E24" s="3107">
        <v>0.8</v>
      </c>
      <c r="F24" s="3104" t="s">
        <v>2442</v>
      </c>
      <c r="G24" s="3104"/>
    </row>
    <row r="25" spans="1:13" ht="19.5" customHeight="1" thickBot="1">
      <c r="A25" s="3785"/>
      <c r="B25" s="3779"/>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80" t="s">
        <v>2625</v>
      </c>
      <c r="B27" s="3778" t="s">
        <v>2606</v>
      </c>
      <c r="C27" s="3101" t="s">
        <v>2446</v>
      </c>
      <c r="D27" s="3102"/>
      <c r="E27" s="3103">
        <v>1</v>
      </c>
      <c r="F27" s="3104" t="s">
        <v>2447</v>
      </c>
      <c r="G27" s="3104"/>
    </row>
    <row r="28" spans="1:13" ht="19.5" customHeight="1">
      <c r="A28" s="3781"/>
      <c r="B28" s="3777"/>
      <c r="C28" s="3105" t="s">
        <v>2448</v>
      </c>
      <c r="D28" s="3106"/>
      <c r="E28" s="3107">
        <v>1</v>
      </c>
      <c r="F28" s="3104" t="s">
        <v>2449</v>
      </c>
      <c r="G28" s="3104"/>
    </row>
    <row r="29" spans="1:13" ht="19.5" customHeight="1">
      <c r="A29" s="3781"/>
      <c r="B29" s="3777"/>
      <c r="C29" s="3105" t="s">
        <v>2450</v>
      </c>
      <c r="D29" s="3106"/>
      <c r="E29" s="3107">
        <v>0.8</v>
      </c>
      <c r="F29" s="3104" t="s">
        <v>2451</v>
      </c>
      <c r="G29" s="3104"/>
    </row>
    <row r="30" spans="1:13" ht="19.5" customHeight="1">
      <c r="A30" s="3781"/>
      <c r="B30" s="3777"/>
      <c r="C30" s="3105" t="s">
        <v>2452</v>
      </c>
      <c r="D30" s="3106"/>
      <c r="E30" s="3107">
        <v>0.8</v>
      </c>
      <c r="F30" s="3104" t="s">
        <v>2453</v>
      </c>
      <c r="G30" s="3104"/>
    </row>
    <row r="31" spans="1:13" ht="19.5" customHeight="1">
      <c r="A31" s="3781"/>
      <c r="B31" s="3777"/>
      <c r="C31" s="3105" t="s">
        <v>2454</v>
      </c>
      <c r="D31" s="3106"/>
      <c r="E31" s="3107">
        <v>0.8</v>
      </c>
      <c r="F31" s="3104" t="s">
        <v>2455</v>
      </c>
      <c r="G31" s="3104"/>
    </row>
    <row r="32" spans="1:13" ht="19.5" customHeight="1">
      <c r="A32" s="3781"/>
      <c r="B32" s="3777"/>
      <c r="C32" s="3105" t="s">
        <v>2456</v>
      </c>
      <c r="D32" s="3106"/>
      <c r="E32" s="3107">
        <v>0.7</v>
      </c>
      <c r="F32" s="3104" t="s">
        <v>2457</v>
      </c>
      <c r="G32" s="3104"/>
    </row>
    <row r="33" spans="1:7" ht="19.5" customHeight="1">
      <c r="A33" s="3781"/>
      <c r="B33" s="3777"/>
      <c r="C33" s="3105" t="s">
        <v>2458</v>
      </c>
      <c r="D33" s="3106"/>
      <c r="E33" s="3107">
        <v>0.8</v>
      </c>
      <c r="F33" s="3104" t="s">
        <v>2459</v>
      </c>
      <c r="G33" s="3104"/>
    </row>
    <row r="34" spans="1:7" ht="19.5" customHeight="1">
      <c r="A34" s="3781"/>
      <c r="B34" s="3777"/>
      <c r="C34" s="3105" t="s">
        <v>2460</v>
      </c>
      <c r="D34" s="3106"/>
      <c r="E34" s="3107">
        <v>0.6</v>
      </c>
      <c r="F34" s="3104" t="s">
        <v>2461</v>
      </c>
      <c r="G34" s="3104"/>
    </row>
    <row r="35" spans="1:7" ht="19.5" customHeight="1">
      <c r="A35" s="3781"/>
      <c r="B35" s="3777"/>
      <c r="C35" s="3105" t="s">
        <v>2462</v>
      </c>
      <c r="D35" s="3106"/>
      <c r="E35" s="3107">
        <v>0.2</v>
      </c>
      <c r="F35" s="3104" t="s">
        <v>2463</v>
      </c>
      <c r="G35" s="3104"/>
    </row>
    <row r="36" spans="1:7" ht="19.5" customHeight="1">
      <c r="A36" s="3781"/>
      <c r="B36" s="3777"/>
      <c r="C36" s="3105" t="s">
        <v>2464</v>
      </c>
      <c r="D36" s="3106"/>
      <c r="E36" s="3107">
        <v>0.2</v>
      </c>
      <c r="F36" s="3104" t="s">
        <v>2465</v>
      </c>
      <c r="G36" s="3104"/>
    </row>
    <row r="37" spans="1:7" ht="19.5" customHeight="1">
      <c r="A37" s="3781"/>
      <c r="B37" s="3775" t="s">
        <v>2626</v>
      </c>
      <c r="C37" s="3105" t="s">
        <v>2466</v>
      </c>
      <c r="D37" s="3106"/>
      <c r="E37" s="3107">
        <v>0.6</v>
      </c>
      <c r="F37" s="3104" t="s">
        <v>2467</v>
      </c>
      <c r="G37" s="3104"/>
    </row>
    <row r="38" spans="1:7" ht="19.5" customHeight="1">
      <c r="A38" s="3781"/>
      <c r="B38" s="3777"/>
      <c r="C38" s="3105" t="s">
        <v>2468</v>
      </c>
      <c r="D38" s="3106"/>
      <c r="E38" s="3107">
        <v>0.6</v>
      </c>
      <c r="F38" s="3104" t="s">
        <v>2469</v>
      </c>
      <c r="G38" s="3104"/>
    </row>
    <row r="39" spans="1:7" ht="19.5" customHeight="1" thickBot="1">
      <c r="A39" s="3782"/>
      <c r="B39" s="3779"/>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83" t="s">
        <v>2604</v>
      </c>
      <c r="B41" s="3778" t="s">
        <v>2628</v>
      </c>
      <c r="C41" s="3101" t="s">
        <v>2473</v>
      </c>
      <c r="D41" s="3102"/>
      <c r="E41" s="3103">
        <v>1</v>
      </c>
      <c r="F41" s="3104" t="s">
        <v>2474</v>
      </c>
      <c r="G41" s="3104"/>
    </row>
    <row r="42" spans="1:7" ht="19.5" customHeight="1">
      <c r="A42" s="3784"/>
      <c r="B42" s="3777"/>
      <c r="C42" s="3105" t="s">
        <v>2475</v>
      </c>
      <c r="D42" s="3106"/>
      <c r="E42" s="3107">
        <v>1</v>
      </c>
      <c r="F42" s="3104" t="s">
        <v>2476</v>
      </c>
      <c r="G42" s="3104"/>
    </row>
    <row r="43" spans="1:7" ht="19.5" customHeight="1">
      <c r="A43" s="3784"/>
      <c r="B43" s="3776"/>
      <c r="C43" s="3105" t="s">
        <v>2477</v>
      </c>
      <c r="D43" s="3106"/>
      <c r="E43" s="3107">
        <v>1.5</v>
      </c>
      <c r="F43" s="3104" t="s">
        <v>2478</v>
      </c>
      <c r="G43" s="3104"/>
    </row>
    <row r="44" spans="1:7" ht="19.5" customHeight="1">
      <c r="A44" s="3784"/>
      <c r="B44" s="3116" t="s">
        <v>2629</v>
      </c>
      <c r="C44" s="3105" t="s">
        <v>2630</v>
      </c>
      <c r="D44" s="3106"/>
      <c r="E44" s="3107">
        <v>2</v>
      </c>
      <c r="F44" s="3104" t="s">
        <v>2479</v>
      </c>
      <c r="G44" s="3104"/>
    </row>
    <row r="45" spans="1:7" ht="19.5" customHeight="1">
      <c r="A45" s="3784"/>
      <c r="B45" s="3775" t="s">
        <v>2631</v>
      </c>
      <c r="C45" s="3105" t="s">
        <v>2480</v>
      </c>
      <c r="D45" s="3106"/>
      <c r="E45" s="3107">
        <v>1</v>
      </c>
      <c r="F45" s="3104" t="s">
        <v>2481</v>
      </c>
      <c r="G45" s="3104"/>
    </row>
    <row r="46" spans="1:7" ht="19.5" customHeight="1">
      <c r="A46" s="3784"/>
      <c r="B46" s="3777"/>
      <c r="C46" s="3105" t="s">
        <v>2482</v>
      </c>
      <c r="D46" s="3106"/>
      <c r="E46" s="3107">
        <v>1</v>
      </c>
      <c r="F46" s="3104" t="s">
        <v>2483</v>
      </c>
      <c r="G46" s="3104"/>
    </row>
    <row r="47" spans="1:7" ht="19.5" customHeight="1">
      <c r="A47" s="3784"/>
      <c r="B47" s="3777"/>
      <c r="C47" s="3105" t="s">
        <v>2484</v>
      </c>
      <c r="D47" s="3106"/>
      <c r="E47" s="3107">
        <v>1</v>
      </c>
      <c r="F47" s="3104" t="s">
        <v>2485</v>
      </c>
      <c r="G47" s="3104"/>
    </row>
    <row r="48" spans="1:7" ht="19.5" customHeight="1">
      <c r="A48" s="3784"/>
      <c r="B48" s="3777"/>
      <c r="C48" s="3105" t="s">
        <v>2486</v>
      </c>
      <c r="D48" s="3106"/>
      <c r="E48" s="3107">
        <v>1</v>
      </c>
      <c r="F48" s="3104" t="s">
        <v>2487</v>
      </c>
      <c r="G48" s="3104"/>
    </row>
    <row r="49" spans="1:7" ht="19.5" customHeight="1">
      <c r="A49" s="3784"/>
      <c r="B49" s="3777"/>
      <c r="C49" s="3105" t="s">
        <v>2488</v>
      </c>
      <c r="D49" s="3106"/>
      <c r="E49" s="3107">
        <v>1</v>
      </c>
      <c r="F49" s="3104" t="s">
        <v>2489</v>
      </c>
      <c r="G49" s="3104"/>
    </row>
    <row r="50" spans="1:7" ht="19.5" customHeight="1">
      <c r="A50" s="3784"/>
      <c r="B50" s="3777"/>
      <c r="C50" s="3105" t="s">
        <v>2490</v>
      </c>
      <c r="D50" s="3106"/>
      <c r="E50" s="3107">
        <v>1</v>
      </c>
      <c r="F50" s="3104" t="s">
        <v>2491</v>
      </c>
      <c r="G50" s="3104"/>
    </row>
    <row r="51" spans="1:7" ht="19.5" customHeight="1" thickBot="1">
      <c r="A51" s="3785"/>
      <c r="B51" s="3779"/>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5" t="s">
        <v>2645</v>
      </c>
      <c r="C73" s="3090" t="s">
        <v>2646</v>
      </c>
      <c r="D73" s="3090" t="s">
        <v>2647</v>
      </c>
      <c r="E73" s="3116">
        <v>0.2</v>
      </c>
      <c r="F73" s="3116">
        <v>25</v>
      </c>
    </row>
    <row r="74" spans="1:7" ht="24">
      <c r="A74" s="3116">
        <v>2</v>
      </c>
      <c r="B74" s="3777"/>
      <c r="C74" s="3090" t="s">
        <v>2648</v>
      </c>
      <c r="D74" s="3090" t="s">
        <v>2649</v>
      </c>
      <c r="E74" s="3116">
        <v>0.2</v>
      </c>
      <c r="F74" s="3116">
        <v>25</v>
      </c>
    </row>
    <row r="75" spans="1:7" ht="24">
      <c r="A75" s="3116">
        <v>3</v>
      </c>
      <c r="B75" s="3777"/>
      <c r="C75" s="3090" t="s">
        <v>2650</v>
      </c>
      <c r="D75" s="3090" t="s">
        <v>2651</v>
      </c>
      <c r="E75" s="3116">
        <v>0.2</v>
      </c>
      <c r="F75" s="3116">
        <v>25</v>
      </c>
    </row>
    <row r="76" spans="1:7" ht="13.5">
      <c r="A76" s="3116">
        <v>4</v>
      </c>
      <c r="B76" s="3777"/>
      <c r="C76" s="3090" t="s">
        <v>2652</v>
      </c>
      <c r="D76" s="3090" t="s">
        <v>2653</v>
      </c>
      <c r="E76" s="3116">
        <v>0.15</v>
      </c>
      <c r="F76" s="3116">
        <v>20</v>
      </c>
    </row>
    <row r="77" spans="1:7" ht="24">
      <c r="A77" s="3116">
        <v>5</v>
      </c>
      <c r="B77" s="3777"/>
      <c r="C77" s="3090" t="s">
        <v>2654</v>
      </c>
      <c r="D77" s="3090" t="s">
        <v>2655</v>
      </c>
      <c r="E77" s="3116">
        <v>0.15</v>
      </c>
      <c r="F77" s="3116">
        <v>20</v>
      </c>
    </row>
    <row r="78" spans="1:7" ht="24">
      <c r="A78" s="3116">
        <v>6</v>
      </c>
      <c r="B78" s="3777"/>
      <c r="C78" s="3090" t="s">
        <v>2656</v>
      </c>
      <c r="D78" s="3090" t="s">
        <v>2657</v>
      </c>
      <c r="E78" s="3116">
        <v>0.15</v>
      </c>
      <c r="F78" s="3116">
        <v>20</v>
      </c>
    </row>
    <row r="79" spans="1:7" ht="24">
      <c r="A79" s="3116">
        <v>7</v>
      </c>
      <c r="B79" s="3777"/>
      <c r="C79" s="3090" t="s">
        <v>2658</v>
      </c>
      <c r="D79" s="3090" t="s">
        <v>2659</v>
      </c>
      <c r="E79" s="3116">
        <v>0.15</v>
      </c>
      <c r="F79" s="3116">
        <v>20</v>
      </c>
    </row>
    <row r="80" spans="1:7" ht="24">
      <c r="A80" s="3116">
        <v>8</v>
      </c>
      <c r="B80" s="3777"/>
      <c r="C80" s="3090" t="s">
        <v>2660</v>
      </c>
      <c r="D80" s="3090" t="s">
        <v>2661</v>
      </c>
      <c r="E80" s="3116">
        <v>0.1</v>
      </c>
      <c r="F80" s="3116">
        <v>15</v>
      </c>
    </row>
    <row r="81" spans="1:6" ht="24">
      <c r="A81" s="3116">
        <v>9</v>
      </c>
      <c r="B81" s="3777"/>
      <c r="C81" s="3090" t="s">
        <v>2662</v>
      </c>
      <c r="D81" s="3090" t="s">
        <v>2663</v>
      </c>
      <c r="E81" s="3116">
        <v>0.1</v>
      </c>
      <c r="F81" s="3116">
        <v>15</v>
      </c>
    </row>
    <row r="82" spans="1:6" ht="24">
      <c r="A82" s="3116">
        <v>10</v>
      </c>
      <c r="B82" s="3777"/>
      <c r="C82" s="3090" t="s">
        <v>2664</v>
      </c>
      <c r="D82" s="3090" t="s">
        <v>2665</v>
      </c>
      <c r="E82" s="3116">
        <v>0.1</v>
      </c>
      <c r="F82" s="3116">
        <v>15</v>
      </c>
    </row>
    <row r="83" spans="1:6" ht="24">
      <c r="A83" s="3116">
        <v>11</v>
      </c>
      <c r="B83" s="3777"/>
      <c r="C83" s="3090" t="s">
        <v>2666</v>
      </c>
      <c r="D83" s="3090" t="s">
        <v>2667</v>
      </c>
      <c r="E83" s="3116">
        <v>0.1</v>
      </c>
      <c r="F83" s="3116">
        <v>15</v>
      </c>
    </row>
    <row r="84" spans="1:6" ht="24">
      <c r="A84" s="3116">
        <v>12</v>
      </c>
      <c r="B84" s="3777"/>
      <c r="C84" s="3090" t="s">
        <v>2668</v>
      </c>
      <c r="D84" s="3090" t="s">
        <v>2669</v>
      </c>
      <c r="E84" s="3116">
        <v>0.1</v>
      </c>
      <c r="F84" s="3116">
        <v>15</v>
      </c>
    </row>
    <row r="85" spans="1:6" ht="13.5">
      <c r="A85" s="3116">
        <v>13</v>
      </c>
      <c r="B85" s="3777"/>
      <c r="C85" s="3090" t="s">
        <v>2670</v>
      </c>
      <c r="D85" s="3090" t="s">
        <v>2671</v>
      </c>
      <c r="E85" s="3116">
        <v>0.1</v>
      </c>
      <c r="F85" s="3116">
        <v>15</v>
      </c>
    </row>
    <row r="86" spans="1:6" ht="13.5">
      <c r="A86" s="3116">
        <v>14</v>
      </c>
      <c r="B86" s="3777"/>
      <c r="C86" s="3090" t="s">
        <v>2672</v>
      </c>
      <c r="D86" s="3090" t="s">
        <v>2673</v>
      </c>
      <c r="E86" s="3116">
        <v>0.1</v>
      </c>
      <c r="F86" s="3116">
        <v>15</v>
      </c>
    </row>
    <row r="87" spans="1:6" ht="13.5">
      <c r="A87" s="3116">
        <v>15</v>
      </c>
      <c r="B87" s="3777"/>
      <c r="C87" s="3090" t="s">
        <v>2674</v>
      </c>
      <c r="D87" s="3090" t="s">
        <v>2675</v>
      </c>
      <c r="E87" s="3116">
        <v>0.1</v>
      </c>
      <c r="F87" s="3116">
        <v>15</v>
      </c>
    </row>
    <row r="88" spans="1:6" ht="24">
      <c r="A88" s="3116">
        <v>16</v>
      </c>
      <c r="B88" s="3777"/>
      <c r="C88" s="3090" t="s">
        <v>2676</v>
      </c>
      <c r="D88" s="3090" t="s">
        <v>2677</v>
      </c>
      <c r="E88" s="3116">
        <v>0.1</v>
      </c>
      <c r="F88" s="3116">
        <v>15</v>
      </c>
    </row>
    <row r="89" spans="1:6" ht="24">
      <c r="A89" s="3116">
        <v>17</v>
      </c>
      <c r="B89" s="3776"/>
      <c r="C89" s="3090" t="s">
        <v>2678</v>
      </c>
      <c r="D89" s="3090" t="s">
        <v>2679</v>
      </c>
      <c r="E89" s="3116">
        <v>0.1</v>
      </c>
      <c r="F89" s="3116">
        <v>15</v>
      </c>
    </row>
    <row r="90" spans="1:6" ht="13.5">
      <c r="A90" s="3116">
        <v>18</v>
      </c>
      <c r="B90" s="3775" t="s">
        <v>2680</v>
      </c>
      <c r="C90" s="3090" t="s">
        <v>2681</v>
      </c>
      <c r="D90" s="3090" t="s">
        <v>2682</v>
      </c>
      <c r="E90" s="3116">
        <v>0.2</v>
      </c>
      <c r="F90" s="3116">
        <v>25</v>
      </c>
    </row>
    <row r="91" spans="1:6" ht="24">
      <c r="A91" s="3116">
        <v>19</v>
      </c>
      <c r="B91" s="3777"/>
      <c r="C91" s="3090" t="s">
        <v>2683</v>
      </c>
      <c r="D91" s="3090" t="s">
        <v>2684</v>
      </c>
      <c r="E91" s="3116">
        <v>0.2</v>
      </c>
      <c r="F91" s="3116">
        <v>25</v>
      </c>
    </row>
    <row r="92" spans="1:6" ht="13.5">
      <c r="A92" s="3116">
        <v>20</v>
      </c>
      <c r="B92" s="3777"/>
      <c r="C92" s="3090" t="s">
        <v>2685</v>
      </c>
      <c r="D92" s="3090" t="s">
        <v>2686</v>
      </c>
      <c r="E92" s="3116">
        <v>0.15</v>
      </c>
      <c r="F92" s="3116">
        <v>20</v>
      </c>
    </row>
    <row r="93" spans="1:6" ht="13.5">
      <c r="A93" s="3116">
        <v>21</v>
      </c>
      <c r="B93" s="3777"/>
      <c r="C93" s="3090" t="s">
        <v>2687</v>
      </c>
      <c r="D93" s="3090" t="s">
        <v>2688</v>
      </c>
      <c r="E93" s="3116">
        <v>0.15</v>
      </c>
      <c r="F93" s="3116">
        <v>20</v>
      </c>
    </row>
    <row r="94" spans="1:6" ht="13.5">
      <c r="A94" s="3116">
        <v>22</v>
      </c>
      <c r="B94" s="3777"/>
      <c r="C94" s="3090" t="s">
        <v>2689</v>
      </c>
      <c r="D94" s="3090" t="s">
        <v>2690</v>
      </c>
      <c r="E94" s="3116">
        <v>0.15</v>
      </c>
      <c r="F94" s="3116">
        <v>20</v>
      </c>
    </row>
    <row r="95" spans="1:6" ht="36">
      <c r="A95" s="3116">
        <v>23</v>
      </c>
      <c r="B95" s="3777"/>
      <c r="C95" s="3090" t="s">
        <v>2691</v>
      </c>
      <c r="D95" s="3090" t="s">
        <v>2692</v>
      </c>
      <c r="E95" s="3116">
        <v>0.15</v>
      </c>
      <c r="F95" s="3116">
        <v>20</v>
      </c>
    </row>
    <row r="96" spans="1:6" ht="13.5">
      <c r="A96" s="3116">
        <v>24</v>
      </c>
      <c r="B96" s="3777"/>
      <c r="C96" s="3090" t="s">
        <v>2693</v>
      </c>
      <c r="D96" s="3090" t="s">
        <v>2694</v>
      </c>
      <c r="E96" s="3116">
        <v>0.1</v>
      </c>
      <c r="F96" s="3116">
        <v>15</v>
      </c>
    </row>
    <row r="97" spans="1:6" ht="13.5">
      <c r="A97" s="3116">
        <v>25</v>
      </c>
      <c r="B97" s="3777"/>
      <c r="C97" s="3090" t="s">
        <v>2695</v>
      </c>
      <c r="D97" s="3090" t="s">
        <v>2696</v>
      </c>
      <c r="E97" s="3116">
        <v>0.1</v>
      </c>
      <c r="F97" s="3116">
        <v>15</v>
      </c>
    </row>
    <row r="98" spans="1:6" ht="24">
      <c r="A98" s="3116">
        <v>26</v>
      </c>
      <c r="B98" s="3777"/>
      <c r="C98" s="3090" t="s">
        <v>2697</v>
      </c>
      <c r="D98" s="3090" t="s">
        <v>2698</v>
      </c>
      <c r="E98" s="3116">
        <v>0.1</v>
      </c>
      <c r="F98" s="3116">
        <v>15</v>
      </c>
    </row>
    <row r="99" spans="1:6" ht="24">
      <c r="A99" s="3116">
        <v>27</v>
      </c>
      <c r="B99" s="3777"/>
      <c r="C99" s="3090" t="s">
        <v>2699</v>
      </c>
      <c r="D99" s="3090" t="s">
        <v>2700</v>
      </c>
      <c r="E99" s="3116">
        <v>0.1</v>
      </c>
      <c r="F99" s="3116">
        <v>15</v>
      </c>
    </row>
    <row r="100" spans="1:6" ht="13.5">
      <c r="A100" s="3116">
        <v>28</v>
      </c>
      <c r="B100" s="3777"/>
      <c r="C100" s="3090" t="s">
        <v>2701</v>
      </c>
      <c r="D100" s="3090" t="s">
        <v>2702</v>
      </c>
      <c r="E100" s="3116">
        <v>0.1</v>
      </c>
      <c r="F100" s="3116">
        <v>15</v>
      </c>
    </row>
    <row r="101" spans="1:6" ht="13.5">
      <c r="A101" s="3116">
        <v>29</v>
      </c>
      <c r="B101" s="3777"/>
      <c r="C101" s="3090" t="s">
        <v>2703</v>
      </c>
      <c r="D101" s="3090" t="s">
        <v>2704</v>
      </c>
      <c r="E101" s="3116">
        <v>0.1</v>
      </c>
      <c r="F101" s="3116">
        <v>15</v>
      </c>
    </row>
    <row r="102" spans="1:6" ht="13.5">
      <c r="A102" s="3116">
        <v>30</v>
      </c>
      <c r="B102" s="3777"/>
      <c r="C102" s="3090" t="s">
        <v>2705</v>
      </c>
      <c r="D102" s="3090" t="s">
        <v>2706</v>
      </c>
      <c r="E102" s="3116">
        <v>0.1</v>
      </c>
      <c r="F102" s="3116">
        <v>15</v>
      </c>
    </row>
    <row r="103" spans="1:6" ht="24">
      <c r="A103" s="3116">
        <v>31</v>
      </c>
      <c r="B103" s="3777"/>
      <c r="C103" s="3090" t="s">
        <v>2707</v>
      </c>
      <c r="D103" s="3090" t="s">
        <v>2708</v>
      </c>
      <c r="E103" s="3116">
        <v>0.1</v>
      </c>
      <c r="F103" s="3116">
        <v>15</v>
      </c>
    </row>
    <row r="104" spans="1:6" ht="24">
      <c r="A104" s="3116">
        <v>32</v>
      </c>
      <c r="B104" s="3777"/>
      <c r="C104" s="3090" t="s">
        <v>2709</v>
      </c>
      <c r="D104" s="3090" t="s">
        <v>2710</v>
      </c>
      <c r="E104" s="3116">
        <v>0.1</v>
      </c>
      <c r="F104" s="3116">
        <v>15</v>
      </c>
    </row>
    <row r="105" spans="1:6" ht="24">
      <c r="A105" s="3116">
        <v>33</v>
      </c>
      <c r="B105" s="3777"/>
      <c r="C105" s="3090" t="s">
        <v>2711</v>
      </c>
      <c r="D105" s="3090" t="s">
        <v>2712</v>
      </c>
      <c r="E105" s="3116">
        <v>0.1</v>
      </c>
      <c r="F105" s="3116">
        <v>15</v>
      </c>
    </row>
    <row r="106" spans="1:6" ht="24">
      <c r="A106" s="3116">
        <v>34</v>
      </c>
      <c r="B106" s="3776"/>
      <c r="C106" s="3090" t="s">
        <v>2713</v>
      </c>
      <c r="D106" s="3090" t="s">
        <v>2714</v>
      </c>
      <c r="E106" s="3116">
        <v>0.1</v>
      </c>
      <c r="F106" s="3116">
        <v>15</v>
      </c>
    </row>
    <row r="107" spans="1:6" ht="24">
      <c r="A107" s="3116">
        <v>35</v>
      </c>
      <c r="B107" s="3775" t="s">
        <v>2715</v>
      </c>
      <c r="C107" s="3116" t="s">
        <v>2716</v>
      </c>
      <c r="D107" s="3090" t="s">
        <v>2717</v>
      </c>
      <c r="E107" s="3116">
        <v>0.15</v>
      </c>
      <c r="F107" s="3116">
        <v>20</v>
      </c>
    </row>
    <row r="108" spans="1:6" ht="13.5">
      <c r="A108" s="3116">
        <v>36</v>
      </c>
      <c r="B108" s="3777"/>
      <c r="C108" s="3116" t="s">
        <v>2718</v>
      </c>
      <c r="D108" s="3090" t="s">
        <v>2719</v>
      </c>
      <c r="E108" s="3116">
        <v>0.15</v>
      </c>
      <c r="F108" s="3116">
        <v>20</v>
      </c>
    </row>
    <row r="109" spans="1:6" ht="13.5">
      <c r="A109" s="3116">
        <v>37</v>
      </c>
      <c r="B109" s="3777"/>
      <c r="C109" s="3116" t="s">
        <v>2720</v>
      </c>
      <c r="D109" s="3090" t="s">
        <v>2721</v>
      </c>
      <c r="E109" s="3116">
        <v>0.15</v>
      </c>
      <c r="F109" s="3116">
        <v>20</v>
      </c>
    </row>
    <row r="110" spans="1:6" ht="13.5">
      <c r="A110" s="3116">
        <v>38</v>
      </c>
      <c r="B110" s="3777"/>
      <c r="C110" s="3116" t="s">
        <v>2722</v>
      </c>
      <c r="D110" s="3090" t="s">
        <v>2723</v>
      </c>
      <c r="E110" s="3116">
        <v>0.1</v>
      </c>
      <c r="F110" s="3116">
        <v>15</v>
      </c>
    </row>
    <row r="111" spans="1:6" ht="24">
      <c r="A111" s="3116">
        <v>39</v>
      </c>
      <c r="B111" s="3777"/>
      <c r="C111" s="3116" t="s">
        <v>2724</v>
      </c>
      <c r="D111" s="3090" t="s">
        <v>2725</v>
      </c>
      <c r="E111" s="3116">
        <v>0.1</v>
      </c>
      <c r="F111" s="3116">
        <v>15</v>
      </c>
    </row>
    <row r="112" spans="1:6" ht="24">
      <c r="A112" s="3116">
        <v>40</v>
      </c>
      <c r="B112" s="3776"/>
      <c r="C112" s="3116" t="s">
        <v>2726</v>
      </c>
      <c r="D112" s="3090" t="s">
        <v>2727</v>
      </c>
      <c r="E112" s="3116">
        <v>0.1</v>
      </c>
      <c r="F112" s="3116">
        <v>15</v>
      </c>
    </row>
    <row r="113" spans="1:6" ht="13.5">
      <c r="A113" s="3116">
        <v>41</v>
      </c>
      <c r="B113" s="3774" t="s">
        <v>2728</v>
      </c>
      <c r="C113" s="3116" t="s">
        <v>2729</v>
      </c>
      <c r="D113" s="3090" t="s">
        <v>2730</v>
      </c>
      <c r="E113" s="3116">
        <v>0.1</v>
      </c>
      <c r="F113" s="3116">
        <v>15</v>
      </c>
    </row>
    <row r="114" spans="1:6" ht="13.5">
      <c r="A114" s="3116">
        <v>42</v>
      </c>
      <c r="B114" s="3774"/>
      <c r="C114" s="3116" t="s">
        <v>2731</v>
      </c>
      <c r="D114" s="3090" t="s">
        <v>2732</v>
      </c>
      <c r="E114" s="3116">
        <v>0.1</v>
      </c>
      <c r="F114" s="3116">
        <v>15</v>
      </c>
    </row>
    <row r="115" spans="1:6" ht="24">
      <c r="A115" s="3116">
        <v>43</v>
      </c>
      <c r="B115" s="3774"/>
      <c r="C115" s="3116" t="s">
        <v>2733</v>
      </c>
      <c r="D115" s="3090" t="s">
        <v>2734</v>
      </c>
      <c r="E115" s="3116">
        <v>0.1</v>
      </c>
      <c r="F115" s="3116">
        <v>15</v>
      </c>
    </row>
    <row r="116" spans="1:6" ht="13.5">
      <c r="A116" s="3116">
        <v>44</v>
      </c>
      <c r="B116" s="3775" t="s">
        <v>2735</v>
      </c>
      <c r="C116" s="3116" t="s">
        <v>2736</v>
      </c>
      <c r="D116" s="3090" t="s">
        <v>2737</v>
      </c>
      <c r="E116" s="3116">
        <v>0.1</v>
      </c>
      <c r="F116" s="3116">
        <v>15</v>
      </c>
    </row>
    <row r="117" spans="1:6" ht="24">
      <c r="A117" s="3116">
        <v>45</v>
      </c>
      <c r="B117" s="3776"/>
      <c r="C117" s="3090" t="s">
        <v>2738</v>
      </c>
      <c r="D117" s="3090" t="s">
        <v>2739</v>
      </c>
      <c r="E117" s="3116">
        <v>0.1</v>
      </c>
      <c r="F117" s="3116">
        <v>15</v>
      </c>
    </row>
    <row r="118" spans="1:6" ht="24">
      <c r="A118" s="3116">
        <v>46</v>
      </c>
      <c r="B118" s="3775" t="s">
        <v>2740</v>
      </c>
      <c r="C118" s="3116" t="s">
        <v>2741</v>
      </c>
      <c r="D118" s="3090" t="s">
        <v>2742</v>
      </c>
      <c r="E118" s="3116">
        <v>0.1</v>
      </c>
      <c r="F118" s="3116">
        <v>15</v>
      </c>
    </row>
    <row r="119" spans="1:6" ht="24">
      <c r="A119" s="3116">
        <v>47</v>
      </c>
      <c r="B119" s="3776"/>
      <c r="C119" s="3116" t="s">
        <v>2743</v>
      </c>
      <c r="D119" s="3090" t="s">
        <v>2744</v>
      </c>
      <c r="E119" s="3116">
        <v>0.1</v>
      </c>
      <c r="F119" s="3116">
        <v>15</v>
      </c>
    </row>
    <row r="120" spans="1:6" ht="13.5">
      <c r="A120" s="3116">
        <v>48</v>
      </c>
      <c r="B120" s="3775" t="s">
        <v>2745</v>
      </c>
      <c r="C120" s="3116" t="s">
        <v>2746</v>
      </c>
      <c r="D120" s="3090" t="s">
        <v>2747</v>
      </c>
      <c r="E120" s="3116">
        <v>0.1</v>
      </c>
      <c r="F120" s="3116">
        <v>15</v>
      </c>
    </row>
    <row r="121" spans="1:6" ht="13.5">
      <c r="A121" s="3116">
        <v>49</v>
      </c>
      <c r="B121" s="3776"/>
      <c r="C121" s="3116" t="s">
        <v>2748</v>
      </c>
      <c r="D121" s="3090" t="s">
        <v>2749</v>
      </c>
      <c r="E121" s="3116">
        <v>0.1</v>
      </c>
      <c r="F121" s="3116">
        <v>15</v>
      </c>
    </row>
    <row r="122" spans="1:6" ht="24">
      <c r="A122" s="3116">
        <v>50</v>
      </c>
      <c r="B122" s="3774" t="s">
        <v>2750</v>
      </c>
      <c r="C122" s="3116" t="s">
        <v>2751</v>
      </c>
      <c r="D122" s="3090" t="s">
        <v>2752</v>
      </c>
      <c r="E122" s="3116">
        <v>0.1</v>
      </c>
      <c r="F122" s="3116">
        <v>15</v>
      </c>
    </row>
    <row r="123" spans="1:6" ht="24">
      <c r="A123" s="3116">
        <v>51</v>
      </c>
      <c r="B123" s="3774"/>
      <c r="C123" s="3116" t="s">
        <v>2753</v>
      </c>
      <c r="D123" s="3090" t="s">
        <v>2754</v>
      </c>
      <c r="E123" s="3116">
        <v>0.1</v>
      </c>
      <c r="F123" s="3116">
        <v>15</v>
      </c>
    </row>
    <row r="124" spans="1:6" ht="24">
      <c r="A124" s="3116">
        <v>52</v>
      </c>
      <c r="B124" s="3774" t="s">
        <v>2755</v>
      </c>
      <c r="C124" s="3116" t="s">
        <v>2756</v>
      </c>
      <c r="D124" s="3090" t="s">
        <v>2757</v>
      </c>
      <c r="E124" s="3116">
        <v>0.1</v>
      </c>
      <c r="F124" s="3116">
        <v>15</v>
      </c>
    </row>
    <row r="125" spans="1:6" ht="24">
      <c r="A125" s="3116">
        <v>53</v>
      </c>
      <c r="B125" s="3774"/>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74" t="s">
        <v>2763</v>
      </c>
      <c r="C127" s="3116" t="s">
        <v>2764</v>
      </c>
      <c r="D127" s="3090" t="s">
        <v>2765</v>
      </c>
      <c r="E127" s="3116">
        <v>0.1</v>
      </c>
      <c r="F127" s="3116">
        <v>15</v>
      </c>
    </row>
    <row r="128" spans="1:6" ht="13.5">
      <c r="A128" s="3116">
        <v>56</v>
      </c>
      <c r="B128" s="3774"/>
      <c r="C128" s="3116" t="s">
        <v>2766</v>
      </c>
      <c r="D128" s="3090" t="s">
        <v>2767</v>
      </c>
      <c r="E128" s="3116">
        <v>0.1</v>
      </c>
      <c r="F128" s="3116">
        <v>15</v>
      </c>
    </row>
    <row r="129" spans="1:6" ht="24">
      <c r="A129" s="3116">
        <v>57</v>
      </c>
      <c r="B129" s="3774"/>
      <c r="C129" s="3116" t="s">
        <v>2768</v>
      </c>
      <c r="D129" s="3090" t="s">
        <v>2769</v>
      </c>
      <c r="E129" s="3116">
        <v>0.1</v>
      </c>
      <c r="F129" s="3116">
        <v>15</v>
      </c>
    </row>
    <row r="130" spans="1:6" ht="24">
      <c r="A130" s="3116">
        <v>58</v>
      </c>
      <c r="B130" s="3774" t="s">
        <v>2770</v>
      </c>
      <c r="C130" s="3116" t="s">
        <v>2771</v>
      </c>
      <c r="D130" s="3090" t="s">
        <v>2772</v>
      </c>
      <c r="E130" s="3116">
        <v>0.1</v>
      </c>
      <c r="F130" s="3116">
        <v>15</v>
      </c>
    </row>
    <row r="131" spans="1:6" ht="13.5">
      <c r="A131" s="3116">
        <v>59</v>
      </c>
      <c r="B131" s="3774"/>
      <c r="C131" s="3116" t="s">
        <v>2773</v>
      </c>
      <c r="D131" s="3090" t="s">
        <v>2774</v>
      </c>
      <c r="E131" s="3116">
        <v>0.1</v>
      </c>
      <c r="F131" s="3116">
        <v>15</v>
      </c>
    </row>
    <row r="132" spans="1:6" ht="13.5">
      <c r="A132" s="3116">
        <v>60</v>
      </c>
      <c r="B132" s="3775" t="s">
        <v>2775</v>
      </c>
      <c r="C132" s="3116" t="s">
        <v>2776</v>
      </c>
      <c r="D132" s="3090" t="s">
        <v>2777</v>
      </c>
      <c r="E132" s="3116">
        <v>0.1</v>
      </c>
      <c r="F132" s="3116">
        <v>15</v>
      </c>
    </row>
    <row r="133" spans="1:6" ht="13.5">
      <c r="A133" s="3116">
        <v>61</v>
      </c>
      <c r="B133" s="3776"/>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74" t="s">
        <v>2783</v>
      </c>
      <c r="C135" s="3116" t="s">
        <v>2784</v>
      </c>
      <c r="D135" s="3090" t="s">
        <v>2785</v>
      </c>
      <c r="E135" s="3116">
        <v>0.1</v>
      </c>
      <c r="F135" s="3116">
        <v>15</v>
      </c>
    </row>
    <row r="136" spans="1:6" ht="13.5">
      <c r="A136" s="3116">
        <v>64</v>
      </c>
      <c r="B136" s="3774"/>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26056</v>
      </c>
      <c r="C2" s="2" t="s">
        <v>106</v>
      </c>
      <c r="D2" s="199"/>
      <c r="E2" s="199"/>
      <c r="F2" s="199"/>
      <c r="G2" s="199"/>
    </row>
    <row r="3" spans="1:7" s="200" customFormat="1" ht="18" customHeight="1" thickBot="1">
      <c r="A3" s="203" t="s">
        <v>58</v>
      </c>
      <c r="B3" s="204">
        <f ca="1">ROUND(B2*10000/'数据-汇总表'!E3,0)</f>
        <v>4344115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26056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21</v>
      </c>
      <c r="E5" s="1491"/>
    </row>
    <row r="6" spans="1:5" ht="15.75">
      <c r="A6" s="1491"/>
      <c r="B6" s="3467"/>
      <c r="C6" s="1494" t="s">
        <v>911</v>
      </c>
      <c r="D6" s="850" t="str">
        <f ca="1">NUMBERSTRING(INT(D5*10000),2)&amp;"元整"</f>
        <v>贰拾壹万元整</v>
      </c>
      <c r="E6" s="1491"/>
    </row>
    <row r="7" spans="1:5" ht="15.75">
      <c r="A7" s="1491"/>
      <c r="B7" s="3472"/>
      <c r="C7" s="1495" t="s">
        <v>912</v>
      </c>
      <c r="D7" s="851">
        <f ca="1">结果表!H102</f>
        <v>3447</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21</v>
      </c>
      <c r="E13" s="1491"/>
    </row>
    <row r="14" spans="1:5" ht="15.75">
      <c r="A14" s="1491"/>
      <c r="B14" s="3467"/>
      <c r="C14" s="1494" t="s">
        <v>911</v>
      </c>
      <c r="D14" s="850" t="str">
        <f ca="1">NUMBERSTRING(INT(D13*10000),2)&amp;"元整"</f>
        <v>贰拾壹万元整</v>
      </c>
      <c r="E14" s="1491"/>
    </row>
    <row r="15" spans="1:5" ht="15">
      <c r="A15" s="1491"/>
      <c r="B15" s="3472"/>
      <c r="C15" s="1495" t="s">
        <v>921</v>
      </c>
      <c r="D15" s="859">
        <f ca="1">结果表!H108</f>
        <v>3447</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2835</v>
      </c>
      <c r="B1" s="3788"/>
      <c r="C1" s="3788"/>
      <c r="D1" s="3788"/>
      <c r="E1" s="3788"/>
      <c r="F1" s="3788"/>
      <c r="G1" s="3789"/>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6"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7"/>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3177</v>
      </c>
      <c r="B1" s="3790"/>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3228</v>
      </c>
      <c r="B1" s="3791"/>
      <c r="C1" s="3791"/>
      <c r="D1" s="3791"/>
      <c r="E1" s="3791"/>
      <c r="F1" s="3792"/>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2834</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3361</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93" t="s">
        <v>2822</v>
      </c>
      <c r="S21" s="3794"/>
      <c r="T21" s="3794"/>
      <c r="U21" s="3794"/>
      <c r="V21" s="3794"/>
      <c r="W21" s="3794"/>
      <c r="X21" s="3163"/>
      <c r="Y21" s="3793" t="s">
        <v>2823</v>
      </c>
      <c r="Z21" s="3794"/>
      <c r="AA21" s="3794"/>
      <c r="AB21" s="3794"/>
      <c r="AC21" s="3794"/>
      <c r="AD21" s="3794"/>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30">
      <c r="A4" s="1505" t="str">
        <f>项目基本情况!S2</f>
        <v>北京市大兴区三羊南街10号院32幢-01层415房地产</v>
      </c>
      <c r="B4" s="854">
        <f>项目基本情况!C17</f>
        <v>59.98</v>
      </c>
      <c r="C4" s="854">
        <f>项目基本情况!C18</f>
        <v>0</v>
      </c>
      <c r="D4" s="854">
        <f ca="1">结果表!D118</f>
        <v>-53</v>
      </c>
      <c r="E4" s="854">
        <f ca="1">结果表!E118</f>
        <v>-8883</v>
      </c>
      <c r="F4" s="854">
        <f ca="1">结果表!F118</f>
        <v>74</v>
      </c>
      <c r="G4" s="854">
        <f ca="1">结果表!G118</f>
        <v>12330</v>
      </c>
      <c r="H4" s="854">
        <f ca="1">结果表!H118</f>
        <v>21</v>
      </c>
      <c r="I4" s="854">
        <f ca="1">结果表!I118</f>
        <v>3447</v>
      </c>
    </row>
    <row r="5" spans="1:9" ht="30" customHeight="1">
      <c r="A5" s="3479" t="s">
        <v>927</v>
      </c>
      <c r="B5" s="3479"/>
      <c r="C5" s="3479"/>
      <c r="D5" s="3479" t="e">
        <f ca="1">结果表!D119</f>
        <v>#NUM!</v>
      </c>
      <c r="E5" s="3479"/>
      <c r="F5" s="3479" t="str">
        <f ca="1">结果表!F119</f>
        <v>柒拾肆万元整</v>
      </c>
      <c r="G5" s="3479"/>
      <c r="H5" s="3479" t="str">
        <f ca="1">结果表!H119</f>
        <v>贰拾壹万元整</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f ca="1">结果表!D122</f>
        <v>21</v>
      </c>
      <c r="E8" s="3478"/>
      <c r="F8" s="3478"/>
      <c r="G8" s="3478"/>
      <c r="H8" s="3478"/>
      <c r="I8" s="3478"/>
    </row>
    <row r="9" spans="1:9" ht="15">
      <c r="A9" s="3479" t="s">
        <v>927</v>
      </c>
      <c r="B9" s="3479"/>
      <c r="C9" s="3479"/>
      <c r="D9" s="3479" t="str">
        <f ca="1">结果表!D123</f>
        <v>贰拾壹万元整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5" t="str">
        <f>IF(项目基本情况!B8="抵押","3.抵押双方在办理抵押登记手续时，应使用本公司出具的正式《房地产评估报告》，特提醒报告使用者注意。","——")</f>
        <v>——</v>
      </c>
      <c r="B13" s="3490"/>
      <c r="C13" s="3490"/>
      <c r="D13" s="3490"/>
    </row>
    <row r="14" spans="1:4" ht="15.75" customHeight="1">
      <c r="A14" s="3485" t="str">
        <f>IF(项目基本情况!B8="抵押","4.本次评估估价师所知悉的法定优先受偿款情况说明如下：","——")</f>
        <v>——</v>
      </c>
      <c r="B14" s="3490"/>
      <c r="C14" s="3490"/>
      <c r="D14" s="3490"/>
    </row>
    <row r="15" spans="1:4" ht="42" customHeight="1">
      <c r="A15" s="3485" t="str">
        <f>IF(项目基本情况!B8="抵押","（1）"&amp;CONCATENATE(项目基本情况!L20,项目基本情况!L21,项目基本情况!L22),"——")</f>
        <v>——</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45082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2023-06-05T08:31:25Z</dcterms:modified>
</cp:coreProperties>
</file>