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福州五矿\最终\"/>
    </mc:Choice>
  </mc:AlternateContent>
  <bookViews>
    <workbookView xWindow="0" yWindow="0" windowWidth="9570" windowHeight="1170" tabRatio="875" firstSheet="14"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state="hidden" r:id="rId43"/>
    <sheet name="土地案例" sheetId="69" r:id="rId44"/>
    <sheet name="案例及位置" sheetId="70" r:id="rId45"/>
    <sheet name="Sheet2" sheetId="73" state="hidden"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33">不动产收益法!$A$1:$G$43</definedName>
    <definedName name="_xlnm.Print_Area" localSheetId="14">估价对象房地状况!$A$1:$G$24</definedName>
    <definedName name="_xlnm.Print_Area" localSheetId="12">'数据-汇总表'!$A$1:$I$32</definedName>
    <definedName name="_xlnm.Print_Area" localSheetId="10">'数据-基础表'!$A$1:$AM$17</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13" i="3" l="1"/>
  <c r="F19" i="6"/>
  <c r="E19" i="6"/>
  <c r="F22" i="6"/>
  <c r="E22" i="6"/>
  <c r="BB13" i="3"/>
  <c r="BA13" i="3"/>
  <c r="BF17" i="3"/>
  <c r="BA17" i="3"/>
  <c r="BA5" i="3"/>
  <c r="E27" i="6"/>
  <c r="E31" i="6"/>
  <c r="C33" i="21"/>
  <c r="F33" i="21"/>
  <c r="AA33" i="21"/>
  <c r="R48" i="21"/>
  <c r="H33" i="21"/>
  <c r="AB33" i="21"/>
  <c r="T48" i="21"/>
  <c r="J33" i="21"/>
  <c r="AC33" i="21"/>
  <c r="V48" i="21"/>
  <c r="R49" i="21"/>
  <c r="C48" i="21"/>
  <c r="C8" i="12"/>
  <c r="F9" i="12"/>
  <c r="F6" i="15"/>
  <c r="F8" i="15"/>
  <c r="K7" i="1"/>
  <c r="F7" i="15"/>
  <c r="F9" i="15"/>
  <c r="C6" i="15"/>
  <c r="N4" i="65"/>
  <c r="C4" i="65"/>
  <c r="B39" i="1"/>
  <c r="F11" i="15"/>
  <c r="C10" i="15"/>
  <c r="C5" i="15"/>
  <c r="C32" i="15"/>
  <c r="C33" i="15"/>
  <c r="AZ13" i="3"/>
  <c r="AZ17" i="3"/>
  <c r="AZ5" i="3"/>
  <c r="H13" i="3"/>
  <c r="G13" i="3"/>
  <c r="H17" i="3"/>
  <c r="G17" i="3"/>
  <c r="G5" i="3"/>
  <c r="B3" i="3"/>
  <c r="AY6" i="3"/>
  <c r="D3" i="6"/>
  <c r="E3" i="6"/>
  <c r="D20" i="6"/>
  <c r="K20" i="6"/>
  <c r="L20" i="6"/>
  <c r="M20" i="6"/>
  <c r="I20" i="6"/>
  <c r="H20" i="6"/>
  <c r="R20" i="6"/>
  <c r="R7" i="1"/>
  <c r="F35" i="15"/>
  <c r="C34" i="15"/>
  <c r="C31" i="15"/>
  <c r="M7" i="1"/>
  <c r="K14" i="1"/>
  <c r="M14" i="1"/>
  <c r="S7" i="1"/>
  <c r="K19" i="6"/>
  <c r="S6" i="1"/>
  <c r="K21" i="6"/>
  <c r="S8" i="1"/>
  <c r="K22" i="6"/>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49" i="21"/>
  <c r="B3" i="21"/>
  <c r="D3" i="21"/>
  <c r="B2" i="21"/>
  <c r="C10" i="12"/>
  <c r="J29" i="35"/>
  <c r="AC29" i="35"/>
  <c r="V38" i="35"/>
  <c r="R39" i="35"/>
  <c r="C39" i="35"/>
  <c r="B2" i="35"/>
  <c r="E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F5" i="3"/>
  <c r="E5" i="6"/>
  <c r="D21" i="12"/>
  <c r="C21" i="12"/>
  <c r="E6" i="6"/>
  <c r="D22" i="12"/>
  <c r="C22" i="12"/>
  <c r="B29" i="1"/>
  <c r="C20" i="12"/>
  <c r="C23" i="12"/>
  <c r="C24" i="12"/>
  <c r="F26" i="12"/>
  <c r="C28" i="12"/>
  <c r="C26" i="12"/>
  <c r="C29" i="12"/>
  <c r="C31" i="12"/>
  <c r="C30" i="12"/>
  <c r="Q16" i="1"/>
  <c r="F33" i="12"/>
  <c r="C35" i="12"/>
  <c r="C33" i="12"/>
  <c r="C27" i="12"/>
  <c r="D26" i="12"/>
  <c r="C32" i="12"/>
  <c r="D30" i="12"/>
  <c r="C34" i="12"/>
  <c r="D33" i="12"/>
  <c r="C36" i="12"/>
  <c r="B2" i="12"/>
  <c r="D19" i="9"/>
  <c r="C9" i="12"/>
  <c r="L9" i="12"/>
  <c r="R47" i="21"/>
  <c r="F32" i="21"/>
  <c r="AA32" i="21"/>
  <c r="T47" i="21"/>
  <c r="D101" i="21"/>
  <c r="H32" i="21"/>
  <c r="AB32" i="21"/>
  <c r="J32" i="21"/>
  <c r="AC32" i="21"/>
  <c r="V47" i="21"/>
  <c r="C17" i="9"/>
  <c r="D17" i="9"/>
  <c r="C18" i="9"/>
  <c r="D18" i="9"/>
  <c r="L9" i="1"/>
  <c r="J9" i="1"/>
  <c r="I9" i="1"/>
  <c r="H9" i="1"/>
  <c r="I48" i="39"/>
  <c r="G1" i="15"/>
  <c r="BB17" i="3"/>
  <c r="BC17" i="3"/>
  <c r="BD17" i="3"/>
  <c r="BE17" i="3"/>
  <c r="BG17" i="3"/>
  <c r="BH17" i="3"/>
  <c r="BI17" i="3"/>
  <c r="BJ17" i="3"/>
  <c r="BK17" i="3"/>
  <c r="BM17" i="3"/>
  <c r="BN17" i="3"/>
  <c r="BO17" i="3"/>
  <c r="BP17" i="3"/>
  <c r="BQ17" i="3"/>
  <c r="BR17" i="3"/>
  <c r="BS17" i="3"/>
  <c r="BT17" i="3"/>
  <c r="BL17" i="3"/>
  <c r="BQ5" i="3"/>
  <c r="BS5" i="3"/>
  <c r="F28" i="6"/>
  <c r="BR5" i="3"/>
  <c r="BT5" i="3"/>
  <c r="G28" i="6"/>
  <c r="E28" i="6"/>
  <c r="E8" i="6"/>
  <c r="F27" i="6"/>
  <c r="A9" i="1"/>
  <c r="B22" i="1"/>
  <c r="C2" i="65"/>
  <c r="I1" i="65"/>
  <c r="F23" i="15"/>
  <c r="BE5" i="3"/>
  <c r="BF11" i="3"/>
  <c r="B3" i="15"/>
  <c r="F3" i="35"/>
  <c r="BM5" i="3"/>
  <c r="BO5" i="3"/>
  <c r="F29" i="6"/>
  <c r="BN5" i="3"/>
  <c r="BP5" i="3"/>
  <c r="G29" i="6"/>
  <c r="E29" i="6"/>
  <c r="E30" i="6"/>
  <c r="L6" i="1"/>
  <c r="BE16" i="3"/>
  <c r="BA16" i="3"/>
  <c r="AZ16" i="3"/>
  <c r="H16" i="3"/>
  <c r="G16" i="3"/>
  <c r="D8" i="12"/>
  <c r="D9" i="12"/>
  <c r="D3" i="35"/>
  <c r="B3" i="35"/>
  <c r="E8" i="12"/>
  <c r="E9" i="12"/>
  <c r="B24" i="1"/>
  <c r="I7" i="35"/>
  <c r="G7" i="35"/>
  <c r="E7" i="35"/>
  <c r="R37" i="35"/>
  <c r="F7" i="35"/>
  <c r="AA7" i="35"/>
  <c r="R38" i="35"/>
  <c r="H7" i="35"/>
  <c r="AB7" i="35"/>
  <c r="T38" i="35"/>
  <c r="J7" i="35"/>
  <c r="AC7" i="35"/>
  <c r="V37" i="35"/>
  <c r="I7" i="21"/>
  <c r="G7" i="21"/>
  <c r="E7" i="21"/>
  <c r="C40" i="39"/>
  <c r="AL13" i="3"/>
  <c r="AD13" i="3"/>
  <c r="G21" i="6"/>
  <c r="F20" i="6"/>
  <c r="D3" i="4"/>
  <c r="D2" i="73"/>
  <c r="D3" i="73"/>
  <c r="E2" i="73"/>
  <c r="D7" i="73"/>
  <c r="D4" i="73"/>
  <c r="D5" i="73"/>
  <c r="D6" i="73"/>
  <c r="D9" i="73"/>
  <c r="K11" i="71"/>
  <c r="BB14" i="3"/>
  <c r="BB15" i="3"/>
  <c r="BB16"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E18" i="3"/>
  <c r="BE13" i="3"/>
  <c r="BE14" i="3"/>
  <c r="BE15"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B11" i="3"/>
  <c r="BC11" i="3"/>
  <c r="BD11" i="3"/>
  <c r="BE11" i="3"/>
  <c r="BG11" i="3"/>
  <c r="BH11" i="3"/>
  <c r="BI11" i="3"/>
  <c r="BJ11" i="3"/>
  <c r="BK11" i="3"/>
  <c r="BM11" i="3"/>
  <c r="BN11" i="3"/>
  <c r="BO11" i="3"/>
  <c r="BP11" i="3"/>
  <c r="BQ11" i="3"/>
  <c r="BR11" i="3"/>
  <c r="BS11" i="3"/>
  <c r="BT11" i="3"/>
  <c r="F5" i="3"/>
  <c r="AC13" i="3"/>
  <c r="H14" i="3"/>
  <c r="AC14" i="3"/>
  <c r="G14" i="3"/>
  <c r="H15" i="3"/>
  <c r="AC15" i="3"/>
  <c r="G15" i="3"/>
  <c r="AC16" i="3"/>
  <c r="AC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F13" i="3"/>
  <c r="BG13" i="3"/>
  <c r="BH13" i="3"/>
  <c r="BI13" i="3"/>
  <c r="BJ13" i="3"/>
  <c r="BK13" i="3"/>
  <c r="BM13" i="3"/>
  <c r="BN13" i="3"/>
  <c r="BO13" i="3"/>
  <c r="BP13" i="3"/>
  <c r="BQ13" i="3"/>
  <c r="BR13" i="3"/>
  <c r="BS13" i="3"/>
  <c r="BT13" i="3"/>
  <c r="BL13" i="3"/>
  <c r="BC14" i="3"/>
  <c r="BD14" i="3"/>
  <c r="BF14" i="3"/>
  <c r="BG14" i="3"/>
  <c r="BH14" i="3"/>
  <c r="BI14" i="3"/>
  <c r="BJ14" i="3"/>
  <c r="BK14" i="3"/>
  <c r="BA14" i="3"/>
  <c r="BM14" i="3"/>
  <c r="BN14" i="3"/>
  <c r="BO14" i="3"/>
  <c r="BP14" i="3"/>
  <c r="BQ14" i="3"/>
  <c r="BR14" i="3"/>
  <c r="BS14" i="3"/>
  <c r="BT14" i="3"/>
  <c r="BL14" i="3"/>
  <c r="AZ14" i="3"/>
  <c r="BC15" i="3"/>
  <c r="BD15" i="3"/>
  <c r="BF15" i="3"/>
  <c r="BG15" i="3"/>
  <c r="BH15" i="3"/>
  <c r="BI15" i="3"/>
  <c r="BJ15" i="3"/>
  <c r="BK15" i="3"/>
  <c r="BA15" i="3"/>
  <c r="BM15" i="3"/>
  <c r="BN15" i="3"/>
  <c r="BO15" i="3"/>
  <c r="BP15" i="3"/>
  <c r="BQ15" i="3"/>
  <c r="BR15" i="3"/>
  <c r="BS15" i="3"/>
  <c r="BT15" i="3"/>
  <c r="BL15" i="3"/>
  <c r="AZ15" i="3"/>
  <c r="BC16" i="3"/>
  <c r="BD16" i="3"/>
  <c r="BF16" i="3"/>
  <c r="BG16" i="3"/>
  <c r="BH16" i="3"/>
  <c r="BI16" i="3"/>
  <c r="BJ16" i="3"/>
  <c r="BK16" i="3"/>
  <c r="BM16" i="3"/>
  <c r="BN16" i="3"/>
  <c r="BO16" i="3"/>
  <c r="BP16" i="3"/>
  <c r="BQ16" i="3"/>
  <c r="BR16" i="3"/>
  <c r="BS16" i="3"/>
  <c r="BT16" i="3"/>
  <c r="BL16" i="3"/>
  <c r="BC18" i="3"/>
  <c r="BD18" i="3"/>
  <c r="BF18" i="3"/>
  <c r="BG18" i="3"/>
  <c r="BH18" i="3"/>
  <c r="BI18" i="3"/>
  <c r="BJ18" i="3"/>
  <c r="BK18" i="3"/>
  <c r="BA18" i="3"/>
  <c r="BM18" i="3"/>
  <c r="BN18" i="3"/>
  <c r="BO18" i="3"/>
  <c r="BP18" i="3"/>
  <c r="BQ18" i="3"/>
  <c r="BR18" i="3"/>
  <c r="BS18" i="3"/>
  <c r="BT18" i="3"/>
  <c r="BL18" i="3"/>
  <c r="AZ18" i="3"/>
  <c r="BC19" i="3"/>
  <c r="BD19" i="3"/>
  <c r="BF19" i="3"/>
  <c r="BG19" i="3"/>
  <c r="BH19" i="3"/>
  <c r="BI19" i="3"/>
  <c r="BJ19" i="3"/>
  <c r="BK19" i="3"/>
  <c r="BA19" i="3"/>
  <c r="BM19" i="3"/>
  <c r="BN19" i="3"/>
  <c r="BO19" i="3"/>
  <c r="BP19" i="3"/>
  <c r="BQ19" i="3"/>
  <c r="BR19" i="3"/>
  <c r="BS19" i="3"/>
  <c r="BT19" i="3"/>
  <c r="BL19" i="3"/>
  <c r="AZ19" i="3"/>
  <c r="BC20" i="3"/>
  <c r="BD20" i="3"/>
  <c r="BF20" i="3"/>
  <c r="BG20" i="3"/>
  <c r="BH20" i="3"/>
  <c r="BI20" i="3"/>
  <c r="BJ20" i="3"/>
  <c r="BK20" i="3"/>
  <c r="BA20" i="3"/>
  <c r="BM20" i="3"/>
  <c r="BN20" i="3"/>
  <c r="BO20" i="3"/>
  <c r="BP20" i="3"/>
  <c r="BQ20" i="3"/>
  <c r="BR20" i="3"/>
  <c r="BS20" i="3"/>
  <c r="BT20" i="3"/>
  <c r="BL20" i="3"/>
  <c r="AZ20" i="3"/>
  <c r="BC21" i="3"/>
  <c r="BD21" i="3"/>
  <c r="BF21" i="3"/>
  <c r="BG21" i="3"/>
  <c r="BH21" i="3"/>
  <c r="BI21" i="3"/>
  <c r="BJ21" i="3"/>
  <c r="BK21" i="3"/>
  <c r="BA21" i="3"/>
  <c r="BM21" i="3"/>
  <c r="BN21" i="3"/>
  <c r="BO21" i="3"/>
  <c r="BP21" i="3"/>
  <c r="BQ21" i="3"/>
  <c r="BR21" i="3"/>
  <c r="BS21" i="3"/>
  <c r="BT21" i="3"/>
  <c r="BL21" i="3"/>
  <c r="AZ21" i="3"/>
  <c r="BC22" i="3"/>
  <c r="BD22" i="3"/>
  <c r="BF22" i="3"/>
  <c r="BG22" i="3"/>
  <c r="BH22" i="3"/>
  <c r="BI22" i="3"/>
  <c r="BJ22" i="3"/>
  <c r="BK22" i="3"/>
  <c r="BA22" i="3"/>
  <c r="BM22" i="3"/>
  <c r="BN22" i="3"/>
  <c r="BO22" i="3"/>
  <c r="BP22" i="3"/>
  <c r="BQ22" i="3"/>
  <c r="BR22" i="3"/>
  <c r="BS22" i="3"/>
  <c r="BT22" i="3"/>
  <c r="BL22" i="3"/>
  <c r="AZ22" i="3"/>
  <c r="BC23" i="3"/>
  <c r="BD23" i="3"/>
  <c r="BF23" i="3"/>
  <c r="BG23" i="3"/>
  <c r="BH23" i="3"/>
  <c r="BI23" i="3"/>
  <c r="BJ23" i="3"/>
  <c r="BK23" i="3"/>
  <c r="BA23" i="3"/>
  <c r="BM23" i="3"/>
  <c r="BN23" i="3"/>
  <c r="BO23" i="3"/>
  <c r="BP23" i="3"/>
  <c r="BQ23" i="3"/>
  <c r="BR23" i="3"/>
  <c r="BS23" i="3"/>
  <c r="BT23" i="3"/>
  <c r="BL23" i="3"/>
  <c r="AZ23" i="3"/>
  <c r="BC24" i="3"/>
  <c r="BD24" i="3"/>
  <c r="BF24" i="3"/>
  <c r="BG24" i="3"/>
  <c r="BH24" i="3"/>
  <c r="BI24" i="3"/>
  <c r="BJ24" i="3"/>
  <c r="BK24" i="3"/>
  <c r="BA24" i="3"/>
  <c r="BM24" i="3"/>
  <c r="BN24" i="3"/>
  <c r="BO24" i="3"/>
  <c r="BP24" i="3"/>
  <c r="BQ24" i="3"/>
  <c r="BR24" i="3"/>
  <c r="BS24" i="3"/>
  <c r="BT24" i="3"/>
  <c r="BL24" i="3"/>
  <c r="AZ24" i="3"/>
  <c r="BC25" i="3"/>
  <c r="BD25" i="3"/>
  <c r="BF25" i="3"/>
  <c r="BG25" i="3"/>
  <c r="BH25" i="3"/>
  <c r="BI25" i="3"/>
  <c r="BJ25" i="3"/>
  <c r="BK25" i="3"/>
  <c r="BA25" i="3"/>
  <c r="BM25" i="3"/>
  <c r="BN25" i="3"/>
  <c r="BO25" i="3"/>
  <c r="BP25" i="3"/>
  <c r="BQ25" i="3"/>
  <c r="BR25" i="3"/>
  <c r="BS25" i="3"/>
  <c r="BT25" i="3"/>
  <c r="BL25" i="3"/>
  <c r="AZ25" i="3"/>
  <c r="BC26" i="3"/>
  <c r="BD26" i="3"/>
  <c r="BF26" i="3"/>
  <c r="BG26" i="3"/>
  <c r="BH26" i="3"/>
  <c r="BI26" i="3"/>
  <c r="BJ26" i="3"/>
  <c r="BK26" i="3"/>
  <c r="BA26" i="3"/>
  <c r="BM26" i="3"/>
  <c r="BN26" i="3"/>
  <c r="BO26" i="3"/>
  <c r="BP26" i="3"/>
  <c r="BQ26" i="3"/>
  <c r="BR26" i="3"/>
  <c r="BS26" i="3"/>
  <c r="BT26" i="3"/>
  <c r="BL26" i="3"/>
  <c r="AZ26" i="3"/>
  <c r="BC27" i="3"/>
  <c r="BD27" i="3"/>
  <c r="BF27" i="3"/>
  <c r="BG27" i="3"/>
  <c r="BH27" i="3"/>
  <c r="BI27" i="3"/>
  <c r="BJ27" i="3"/>
  <c r="BK27" i="3"/>
  <c r="BA27" i="3"/>
  <c r="BM27" i="3"/>
  <c r="BN27" i="3"/>
  <c r="BO27" i="3"/>
  <c r="BP27" i="3"/>
  <c r="BQ27" i="3"/>
  <c r="BR27" i="3"/>
  <c r="BS27" i="3"/>
  <c r="BT27" i="3"/>
  <c r="BL27" i="3"/>
  <c r="AZ27" i="3"/>
  <c r="BC28" i="3"/>
  <c r="BD28" i="3"/>
  <c r="BF28" i="3"/>
  <c r="BG28" i="3"/>
  <c r="BH28" i="3"/>
  <c r="BI28" i="3"/>
  <c r="BJ28" i="3"/>
  <c r="BK28" i="3"/>
  <c r="BA28" i="3"/>
  <c r="BM28" i="3"/>
  <c r="BN28" i="3"/>
  <c r="BO28" i="3"/>
  <c r="BP28" i="3"/>
  <c r="BQ28" i="3"/>
  <c r="BR28" i="3"/>
  <c r="BS28" i="3"/>
  <c r="BT28" i="3"/>
  <c r="BL28" i="3"/>
  <c r="AZ28" i="3"/>
  <c r="BC29" i="3"/>
  <c r="BD29" i="3"/>
  <c r="BF29" i="3"/>
  <c r="BG29" i="3"/>
  <c r="BH29" i="3"/>
  <c r="BI29" i="3"/>
  <c r="BJ29" i="3"/>
  <c r="BK29" i="3"/>
  <c r="BA29" i="3"/>
  <c r="BM29" i="3"/>
  <c r="BN29" i="3"/>
  <c r="BO29" i="3"/>
  <c r="BP29" i="3"/>
  <c r="BQ29" i="3"/>
  <c r="BR29" i="3"/>
  <c r="BS29" i="3"/>
  <c r="BT29" i="3"/>
  <c r="BL29" i="3"/>
  <c r="AZ29" i="3"/>
  <c r="BC30" i="3"/>
  <c r="BD30" i="3"/>
  <c r="BF30" i="3"/>
  <c r="BG30" i="3"/>
  <c r="BH30" i="3"/>
  <c r="BI30" i="3"/>
  <c r="BJ30" i="3"/>
  <c r="BK30" i="3"/>
  <c r="BA30" i="3"/>
  <c r="BM30" i="3"/>
  <c r="BN30" i="3"/>
  <c r="BO30" i="3"/>
  <c r="BP30" i="3"/>
  <c r="BQ30" i="3"/>
  <c r="BR30" i="3"/>
  <c r="BS30" i="3"/>
  <c r="BT30" i="3"/>
  <c r="BL30" i="3"/>
  <c r="AZ30" i="3"/>
  <c r="BC31" i="3"/>
  <c r="BD31" i="3"/>
  <c r="BF31" i="3"/>
  <c r="BG31" i="3"/>
  <c r="BH31" i="3"/>
  <c r="BI31" i="3"/>
  <c r="BJ31" i="3"/>
  <c r="BK31" i="3"/>
  <c r="BA31" i="3"/>
  <c r="BM31" i="3"/>
  <c r="BN31" i="3"/>
  <c r="BO31" i="3"/>
  <c r="BP31" i="3"/>
  <c r="BQ31" i="3"/>
  <c r="BR31" i="3"/>
  <c r="BS31" i="3"/>
  <c r="BT31" i="3"/>
  <c r="BL31" i="3"/>
  <c r="AZ31" i="3"/>
  <c r="BC32" i="3"/>
  <c r="BD32" i="3"/>
  <c r="BF32" i="3"/>
  <c r="BG32" i="3"/>
  <c r="BH32" i="3"/>
  <c r="BI32" i="3"/>
  <c r="BJ32" i="3"/>
  <c r="BK32" i="3"/>
  <c r="BA32" i="3"/>
  <c r="BM32" i="3"/>
  <c r="BN32" i="3"/>
  <c r="BO32" i="3"/>
  <c r="BP32" i="3"/>
  <c r="BQ32" i="3"/>
  <c r="BR32" i="3"/>
  <c r="BS32" i="3"/>
  <c r="BT32" i="3"/>
  <c r="BL32" i="3"/>
  <c r="AZ32" i="3"/>
  <c r="BC33" i="3"/>
  <c r="BD33" i="3"/>
  <c r="BF33" i="3"/>
  <c r="BG33" i="3"/>
  <c r="BH33" i="3"/>
  <c r="BI33" i="3"/>
  <c r="BJ33" i="3"/>
  <c r="BK33" i="3"/>
  <c r="BA33" i="3"/>
  <c r="BM33" i="3"/>
  <c r="BN33" i="3"/>
  <c r="BO33" i="3"/>
  <c r="BP33" i="3"/>
  <c r="BQ33" i="3"/>
  <c r="BR33" i="3"/>
  <c r="BS33" i="3"/>
  <c r="BT33" i="3"/>
  <c r="BL33" i="3"/>
  <c r="AZ33" i="3"/>
  <c r="BC34" i="3"/>
  <c r="BD34" i="3"/>
  <c r="BF34" i="3"/>
  <c r="BG34" i="3"/>
  <c r="BH34" i="3"/>
  <c r="BI34" i="3"/>
  <c r="BJ34" i="3"/>
  <c r="BK34" i="3"/>
  <c r="BA34" i="3"/>
  <c r="BM34" i="3"/>
  <c r="BN34" i="3"/>
  <c r="BO34" i="3"/>
  <c r="BP34" i="3"/>
  <c r="BQ34" i="3"/>
  <c r="BR34" i="3"/>
  <c r="BS34" i="3"/>
  <c r="BT34" i="3"/>
  <c r="BL34" i="3"/>
  <c r="AZ34" i="3"/>
  <c r="BC35" i="3"/>
  <c r="BD35" i="3"/>
  <c r="BF35" i="3"/>
  <c r="BG35" i="3"/>
  <c r="BH35" i="3"/>
  <c r="BI35" i="3"/>
  <c r="BJ35" i="3"/>
  <c r="BK35" i="3"/>
  <c r="BA35" i="3"/>
  <c r="BM35" i="3"/>
  <c r="BN35" i="3"/>
  <c r="BO35" i="3"/>
  <c r="BP35" i="3"/>
  <c r="BQ35" i="3"/>
  <c r="BR35" i="3"/>
  <c r="BS35" i="3"/>
  <c r="BT35" i="3"/>
  <c r="BL35" i="3"/>
  <c r="AZ35" i="3"/>
  <c r="BC36" i="3"/>
  <c r="BD36" i="3"/>
  <c r="BF36" i="3"/>
  <c r="BG36" i="3"/>
  <c r="BH36" i="3"/>
  <c r="BI36" i="3"/>
  <c r="BJ36" i="3"/>
  <c r="BK36" i="3"/>
  <c r="BA36" i="3"/>
  <c r="BM36" i="3"/>
  <c r="BN36" i="3"/>
  <c r="BO36" i="3"/>
  <c r="BP36" i="3"/>
  <c r="BQ36" i="3"/>
  <c r="BR36" i="3"/>
  <c r="BS36" i="3"/>
  <c r="BT36" i="3"/>
  <c r="BL36" i="3"/>
  <c r="AZ36" i="3"/>
  <c r="BC37" i="3"/>
  <c r="BD37" i="3"/>
  <c r="BF37" i="3"/>
  <c r="BG37" i="3"/>
  <c r="BH37" i="3"/>
  <c r="BI37" i="3"/>
  <c r="BJ37" i="3"/>
  <c r="BK37" i="3"/>
  <c r="BA37" i="3"/>
  <c r="BM37" i="3"/>
  <c r="BN37" i="3"/>
  <c r="BO37" i="3"/>
  <c r="BP37" i="3"/>
  <c r="BQ37" i="3"/>
  <c r="BR37" i="3"/>
  <c r="BS37" i="3"/>
  <c r="BT37" i="3"/>
  <c r="BL37" i="3"/>
  <c r="AZ37" i="3"/>
  <c r="BC38" i="3"/>
  <c r="BD38" i="3"/>
  <c r="BF38" i="3"/>
  <c r="BG38" i="3"/>
  <c r="BH38" i="3"/>
  <c r="BI38" i="3"/>
  <c r="BJ38" i="3"/>
  <c r="BK38" i="3"/>
  <c r="BA38" i="3"/>
  <c r="BM38" i="3"/>
  <c r="BN38" i="3"/>
  <c r="BO38" i="3"/>
  <c r="BP38" i="3"/>
  <c r="BQ38" i="3"/>
  <c r="BR38" i="3"/>
  <c r="BS38" i="3"/>
  <c r="BT38" i="3"/>
  <c r="BL38" i="3"/>
  <c r="AZ38" i="3"/>
  <c r="BC39" i="3"/>
  <c r="BD39" i="3"/>
  <c r="BF39" i="3"/>
  <c r="BG39" i="3"/>
  <c r="BH39" i="3"/>
  <c r="BI39" i="3"/>
  <c r="BJ39" i="3"/>
  <c r="BK39" i="3"/>
  <c r="BA39" i="3"/>
  <c r="BM39" i="3"/>
  <c r="BN39" i="3"/>
  <c r="BO39" i="3"/>
  <c r="BP39" i="3"/>
  <c r="BQ39" i="3"/>
  <c r="BR39" i="3"/>
  <c r="BS39" i="3"/>
  <c r="BT39" i="3"/>
  <c r="BL39" i="3"/>
  <c r="AZ39" i="3"/>
  <c r="BC40" i="3"/>
  <c r="BD40" i="3"/>
  <c r="BF40" i="3"/>
  <c r="BG40" i="3"/>
  <c r="BH40" i="3"/>
  <c r="BI40" i="3"/>
  <c r="BJ40" i="3"/>
  <c r="BK40" i="3"/>
  <c r="BA40" i="3"/>
  <c r="BM40" i="3"/>
  <c r="BN40" i="3"/>
  <c r="BO40" i="3"/>
  <c r="BP40" i="3"/>
  <c r="BQ40" i="3"/>
  <c r="BR40" i="3"/>
  <c r="BS40" i="3"/>
  <c r="BT40" i="3"/>
  <c r="BL40" i="3"/>
  <c r="AZ40" i="3"/>
  <c r="BC41" i="3"/>
  <c r="BD41" i="3"/>
  <c r="BF41" i="3"/>
  <c r="BG41" i="3"/>
  <c r="BH41" i="3"/>
  <c r="BI41" i="3"/>
  <c r="BJ41" i="3"/>
  <c r="BK41" i="3"/>
  <c r="BA41" i="3"/>
  <c r="BM41" i="3"/>
  <c r="BN41" i="3"/>
  <c r="BO41" i="3"/>
  <c r="BP41" i="3"/>
  <c r="BQ41" i="3"/>
  <c r="BR41" i="3"/>
  <c r="BS41" i="3"/>
  <c r="BT41" i="3"/>
  <c r="BL41" i="3"/>
  <c r="AZ41" i="3"/>
  <c r="BC42" i="3"/>
  <c r="BD42" i="3"/>
  <c r="BF42" i="3"/>
  <c r="BG42" i="3"/>
  <c r="BH42" i="3"/>
  <c r="BI42" i="3"/>
  <c r="BJ42" i="3"/>
  <c r="BK42" i="3"/>
  <c r="BA42" i="3"/>
  <c r="BM42" i="3"/>
  <c r="BN42" i="3"/>
  <c r="BO42" i="3"/>
  <c r="BP42" i="3"/>
  <c r="BQ42" i="3"/>
  <c r="BR42" i="3"/>
  <c r="BS42" i="3"/>
  <c r="BT42" i="3"/>
  <c r="BL42" i="3"/>
  <c r="AZ42" i="3"/>
  <c r="BC43" i="3"/>
  <c r="BD43" i="3"/>
  <c r="BF43" i="3"/>
  <c r="BG43" i="3"/>
  <c r="BH43" i="3"/>
  <c r="BI43" i="3"/>
  <c r="BJ43" i="3"/>
  <c r="BK43" i="3"/>
  <c r="BA43" i="3"/>
  <c r="BM43" i="3"/>
  <c r="BN43" i="3"/>
  <c r="BO43" i="3"/>
  <c r="BP43" i="3"/>
  <c r="BQ43" i="3"/>
  <c r="BR43" i="3"/>
  <c r="BS43" i="3"/>
  <c r="BT43" i="3"/>
  <c r="BL43" i="3"/>
  <c r="AZ43" i="3"/>
  <c r="BC44" i="3"/>
  <c r="BD44" i="3"/>
  <c r="BF44" i="3"/>
  <c r="BG44" i="3"/>
  <c r="BH44" i="3"/>
  <c r="BI44" i="3"/>
  <c r="BJ44" i="3"/>
  <c r="BK44" i="3"/>
  <c r="BA44" i="3"/>
  <c r="BM44" i="3"/>
  <c r="BN44" i="3"/>
  <c r="BO44" i="3"/>
  <c r="BP44" i="3"/>
  <c r="BQ44" i="3"/>
  <c r="BR44" i="3"/>
  <c r="BS44" i="3"/>
  <c r="BT44" i="3"/>
  <c r="BL44" i="3"/>
  <c r="AZ44" i="3"/>
  <c r="BC45" i="3"/>
  <c r="BD45" i="3"/>
  <c r="BF45" i="3"/>
  <c r="BG45" i="3"/>
  <c r="BH45" i="3"/>
  <c r="BI45" i="3"/>
  <c r="BJ45" i="3"/>
  <c r="BK45" i="3"/>
  <c r="BA45" i="3"/>
  <c r="BM45" i="3"/>
  <c r="BN45" i="3"/>
  <c r="BO45" i="3"/>
  <c r="BP45" i="3"/>
  <c r="BQ45" i="3"/>
  <c r="BR45" i="3"/>
  <c r="BS45" i="3"/>
  <c r="BT45" i="3"/>
  <c r="BL45" i="3"/>
  <c r="AZ45" i="3"/>
  <c r="BC46" i="3"/>
  <c r="BD46" i="3"/>
  <c r="BF46" i="3"/>
  <c r="BG46" i="3"/>
  <c r="BH46" i="3"/>
  <c r="BI46" i="3"/>
  <c r="BJ46" i="3"/>
  <c r="BK46" i="3"/>
  <c r="BA46" i="3"/>
  <c r="BM46" i="3"/>
  <c r="BN46" i="3"/>
  <c r="BO46" i="3"/>
  <c r="BP46" i="3"/>
  <c r="BQ46" i="3"/>
  <c r="BR46" i="3"/>
  <c r="BS46" i="3"/>
  <c r="BT46" i="3"/>
  <c r="BL46" i="3"/>
  <c r="AZ46" i="3"/>
  <c r="BC47" i="3"/>
  <c r="BD47" i="3"/>
  <c r="BF47" i="3"/>
  <c r="BG47" i="3"/>
  <c r="BH47" i="3"/>
  <c r="BI47" i="3"/>
  <c r="BJ47" i="3"/>
  <c r="BK47" i="3"/>
  <c r="BA47" i="3"/>
  <c r="BM47" i="3"/>
  <c r="BN47" i="3"/>
  <c r="BO47" i="3"/>
  <c r="BP47" i="3"/>
  <c r="BQ47" i="3"/>
  <c r="BR47" i="3"/>
  <c r="BS47" i="3"/>
  <c r="BT47" i="3"/>
  <c r="BL47" i="3"/>
  <c r="AZ47" i="3"/>
  <c r="BC48" i="3"/>
  <c r="BD48" i="3"/>
  <c r="BF48" i="3"/>
  <c r="BG48" i="3"/>
  <c r="BH48" i="3"/>
  <c r="BI48" i="3"/>
  <c r="BJ48" i="3"/>
  <c r="BK48" i="3"/>
  <c r="BA48" i="3"/>
  <c r="BM48" i="3"/>
  <c r="BN48" i="3"/>
  <c r="BO48" i="3"/>
  <c r="BP48" i="3"/>
  <c r="BQ48" i="3"/>
  <c r="BR48" i="3"/>
  <c r="BS48" i="3"/>
  <c r="BT48" i="3"/>
  <c r="BL48" i="3"/>
  <c r="AZ48" i="3"/>
  <c r="BC49" i="3"/>
  <c r="BD49" i="3"/>
  <c r="BF49" i="3"/>
  <c r="BG49" i="3"/>
  <c r="BH49" i="3"/>
  <c r="BI49" i="3"/>
  <c r="BJ49" i="3"/>
  <c r="BK49" i="3"/>
  <c r="BA49" i="3"/>
  <c r="BM49" i="3"/>
  <c r="BN49" i="3"/>
  <c r="BO49" i="3"/>
  <c r="BP49" i="3"/>
  <c r="BQ49" i="3"/>
  <c r="BR49" i="3"/>
  <c r="BS49" i="3"/>
  <c r="BT49" i="3"/>
  <c r="BL49" i="3"/>
  <c r="AZ49" i="3"/>
  <c r="BC50" i="3"/>
  <c r="BD50" i="3"/>
  <c r="BF50" i="3"/>
  <c r="BG50" i="3"/>
  <c r="BH50" i="3"/>
  <c r="BI50" i="3"/>
  <c r="BJ50" i="3"/>
  <c r="BK50" i="3"/>
  <c r="BA50" i="3"/>
  <c r="BM50" i="3"/>
  <c r="BN50" i="3"/>
  <c r="BO50" i="3"/>
  <c r="BP50" i="3"/>
  <c r="BQ50" i="3"/>
  <c r="BR50" i="3"/>
  <c r="BS50" i="3"/>
  <c r="BT50" i="3"/>
  <c r="BL50" i="3"/>
  <c r="AZ50" i="3"/>
  <c r="BC51" i="3"/>
  <c r="BD51" i="3"/>
  <c r="BF51" i="3"/>
  <c r="BG51" i="3"/>
  <c r="BH51" i="3"/>
  <c r="BI51" i="3"/>
  <c r="BJ51" i="3"/>
  <c r="BK51" i="3"/>
  <c r="BA51" i="3"/>
  <c r="BM51" i="3"/>
  <c r="BN51" i="3"/>
  <c r="BO51" i="3"/>
  <c r="BP51" i="3"/>
  <c r="BQ51" i="3"/>
  <c r="BR51" i="3"/>
  <c r="BS51" i="3"/>
  <c r="BT51" i="3"/>
  <c r="BL51" i="3"/>
  <c r="AZ51" i="3"/>
  <c r="BC52" i="3"/>
  <c r="BD52" i="3"/>
  <c r="BF52" i="3"/>
  <c r="BG52" i="3"/>
  <c r="BH52" i="3"/>
  <c r="BI52" i="3"/>
  <c r="BJ52" i="3"/>
  <c r="BK52" i="3"/>
  <c r="BA52" i="3"/>
  <c r="BM52" i="3"/>
  <c r="BN52" i="3"/>
  <c r="BO52" i="3"/>
  <c r="BP52" i="3"/>
  <c r="BQ52" i="3"/>
  <c r="BR52" i="3"/>
  <c r="BS52" i="3"/>
  <c r="BT52" i="3"/>
  <c r="BL52" i="3"/>
  <c r="AZ52" i="3"/>
  <c r="BC53" i="3"/>
  <c r="BD53" i="3"/>
  <c r="BF53" i="3"/>
  <c r="BG53" i="3"/>
  <c r="BH53" i="3"/>
  <c r="BI53" i="3"/>
  <c r="BJ53" i="3"/>
  <c r="BK53" i="3"/>
  <c r="BA53" i="3"/>
  <c r="BM53" i="3"/>
  <c r="BN53" i="3"/>
  <c r="BO53" i="3"/>
  <c r="BP53" i="3"/>
  <c r="BQ53" i="3"/>
  <c r="BR53" i="3"/>
  <c r="BS53" i="3"/>
  <c r="BT53" i="3"/>
  <c r="BL53" i="3"/>
  <c r="AZ53" i="3"/>
  <c r="BC54" i="3"/>
  <c r="BD54" i="3"/>
  <c r="BF54" i="3"/>
  <c r="BG54" i="3"/>
  <c r="BH54" i="3"/>
  <c r="BI54" i="3"/>
  <c r="BJ54" i="3"/>
  <c r="BK54" i="3"/>
  <c r="BA54" i="3"/>
  <c r="BM54" i="3"/>
  <c r="BN54" i="3"/>
  <c r="BO54" i="3"/>
  <c r="BP54" i="3"/>
  <c r="BQ54" i="3"/>
  <c r="BR54" i="3"/>
  <c r="BS54" i="3"/>
  <c r="BT54" i="3"/>
  <c r="BL54" i="3"/>
  <c r="AZ54" i="3"/>
  <c r="BC55" i="3"/>
  <c r="BD55" i="3"/>
  <c r="BF55" i="3"/>
  <c r="BG55" i="3"/>
  <c r="BH55" i="3"/>
  <c r="BI55" i="3"/>
  <c r="BJ55" i="3"/>
  <c r="BK55" i="3"/>
  <c r="BA55" i="3"/>
  <c r="BM55" i="3"/>
  <c r="BN55" i="3"/>
  <c r="BO55" i="3"/>
  <c r="BP55" i="3"/>
  <c r="BQ55" i="3"/>
  <c r="BR55" i="3"/>
  <c r="BS55" i="3"/>
  <c r="BT55" i="3"/>
  <c r="BL55" i="3"/>
  <c r="AZ55" i="3"/>
  <c r="BC56" i="3"/>
  <c r="BD56" i="3"/>
  <c r="BF56" i="3"/>
  <c r="BG56" i="3"/>
  <c r="BH56" i="3"/>
  <c r="BI56" i="3"/>
  <c r="BJ56" i="3"/>
  <c r="BK56" i="3"/>
  <c r="BA56" i="3"/>
  <c r="BM56" i="3"/>
  <c r="BN56" i="3"/>
  <c r="BO56" i="3"/>
  <c r="BP56" i="3"/>
  <c r="BQ56" i="3"/>
  <c r="BR56" i="3"/>
  <c r="BS56" i="3"/>
  <c r="BT56" i="3"/>
  <c r="BL56" i="3"/>
  <c r="AZ56" i="3"/>
  <c r="BC57" i="3"/>
  <c r="BD57" i="3"/>
  <c r="BF57" i="3"/>
  <c r="BG57" i="3"/>
  <c r="BH57" i="3"/>
  <c r="BI57" i="3"/>
  <c r="BJ57" i="3"/>
  <c r="BK57" i="3"/>
  <c r="BA57" i="3"/>
  <c r="BM57" i="3"/>
  <c r="BN57" i="3"/>
  <c r="BO57" i="3"/>
  <c r="BP57" i="3"/>
  <c r="BQ57" i="3"/>
  <c r="BR57" i="3"/>
  <c r="BS57" i="3"/>
  <c r="BT57" i="3"/>
  <c r="BL57" i="3"/>
  <c r="AZ57" i="3"/>
  <c r="BC58" i="3"/>
  <c r="BD58" i="3"/>
  <c r="BF58" i="3"/>
  <c r="BG58" i="3"/>
  <c r="BH58" i="3"/>
  <c r="BI58" i="3"/>
  <c r="BJ58" i="3"/>
  <c r="BK58" i="3"/>
  <c r="BA58" i="3"/>
  <c r="BM58" i="3"/>
  <c r="BN58" i="3"/>
  <c r="BO58" i="3"/>
  <c r="BP58" i="3"/>
  <c r="BQ58" i="3"/>
  <c r="BR58" i="3"/>
  <c r="BS58" i="3"/>
  <c r="BT58" i="3"/>
  <c r="BL58" i="3"/>
  <c r="AZ58" i="3"/>
  <c r="BC59" i="3"/>
  <c r="BD59" i="3"/>
  <c r="BF59" i="3"/>
  <c r="BG59" i="3"/>
  <c r="BH59" i="3"/>
  <c r="BI59" i="3"/>
  <c r="BJ59" i="3"/>
  <c r="BK59" i="3"/>
  <c r="BA59" i="3"/>
  <c r="BM59" i="3"/>
  <c r="BN59" i="3"/>
  <c r="BO59" i="3"/>
  <c r="BP59" i="3"/>
  <c r="BQ59" i="3"/>
  <c r="BR59" i="3"/>
  <c r="BS59" i="3"/>
  <c r="BT59" i="3"/>
  <c r="BL59" i="3"/>
  <c r="AZ59" i="3"/>
  <c r="BC60" i="3"/>
  <c r="BD60" i="3"/>
  <c r="BF60" i="3"/>
  <c r="BG60" i="3"/>
  <c r="BH60" i="3"/>
  <c r="BI60" i="3"/>
  <c r="BJ60" i="3"/>
  <c r="BK60" i="3"/>
  <c r="BA60" i="3"/>
  <c r="BM60" i="3"/>
  <c r="BN60" i="3"/>
  <c r="BO60" i="3"/>
  <c r="BP60" i="3"/>
  <c r="BQ60" i="3"/>
  <c r="BR60" i="3"/>
  <c r="BS60" i="3"/>
  <c r="BT60" i="3"/>
  <c r="BL60" i="3"/>
  <c r="AZ60" i="3"/>
  <c r="BC61" i="3"/>
  <c r="BD61" i="3"/>
  <c r="BF61" i="3"/>
  <c r="BG61" i="3"/>
  <c r="BH61" i="3"/>
  <c r="BI61" i="3"/>
  <c r="BJ61" i="3"/>
  <c r="BK61" i="3"/>
  <c r="BA61" i="3"/>
  <c r="BM61" i="3"/>
  <c r="BN61" i="3"/>
  <c r="BO61" i="3"/>
  <c r="BP61" i="3"/>
  <c r="BQ61" i="3"/>
  <c r="BR61" i="3"/>
  <c r="BS61" i="3"/>
  <c r="BT61" i="3"/>
  <c r="BL61" i="3"/>
  <c r="AZ61" i="3"/>
  <c r="BC62" i="3"/>
  <c r="BD62" i="3"/>
  <c r="BF62" i="3"/>
  <c r="BG62" i="3"/>
  <c r="BH62" i="3"/>
  <c r="BI62" i="3"/>
  <c r="BJ62" i="3"/>
  <c r="BK62" i="3"/>
  <c r="BA62" i="3"/>
  <c r="BM62" i="3"/>
  <c r="BN62" i="3"/>
  <c r="BO62" i="3"/>
  <c r="BP62" i="3"/>
  <c r="BQ62" i="3"/>
  <c r="BR62" i="3"/>
  <c r="BS62" i="3"/>
  <c r="BT62" i="3"/>
  <c r="BL62" i="3"/>
  <c r="AZ62" i="3"/>
  <c r="BC63" i="3"/>
  <c r="BD63" i="3"/>
  <c r="BF63" i="3"/>
  <c r="BG63" i="3"/>
  <c r="BH63" i="3"/>
  <c r="BI63" i="3"/>
  <c r="BJ63" i="3"/>
  <c r="BK63" i="3"/>
  <c r="BA63" i="3"/>
  <c r="BM63" i="3"/>
  <c r="BN63" i="3"/>
  <c r="BO63" i="3"/>
  <c r="BP63" i="3"/>
  <c r="BQ63" i="3"/>
  <c r="BR63" i="3"/>
  <c r="BS63" i="3"/>
  <c r="BT63" i="3"/>
  <c r="BL63" i="3"/>
  <c r="AZ63" i="3"/>
  <c r="BC64" i="3"/>
  <c r="BD64" i="3"/>
  <c r="BF64" i="3"/>
  <c r="BG64" i="3"/>
  <c r="BH64" i="3"/>
  <c r="BI64" i="3"/>
  <c r="BJ64" i="3"/>
  <c r="BK64" i="3"/>
  <c r="BA64" i="3"/>
  <c r="BM64" i="3"/>
  <c r="BN64" i="3"/>
  <c r="BO64" i="3"/>
  <c r="BP64" i="3"/>
  <c r="BQ64" i="3"/>
  <c r="BR64" i="3"/>
  <c r="BS64" i="3"/>
  <c r="BT64" i="3"/>
  <c r="BL64" i="3"/>
  <c r="AZ64" i="3"/>
  <c r="BC65" i="3"/>
  <c r="BD65" i="3"/>
  <c r="BF65" i="3"/>
  <c r="BG65" i="3"/>
  <c r="BH65" i="3"/>
  <c r="BI65" i="3"/>
  <c r="BJ65" i="3"/>
  <c r="BK65" i="3"/>
  <c r="BA65" i="3"/>
  <c r="BM65" i="3"/>
  <c r="BN65" i="3"/>
  <c r="BO65" i="3"/>
  <c r="BP65" i="3"/>
  <c r="BQ65" i="3"/>
  <c r="BR65" i="3"/>
  <c r="BS65" i="3"/>
  <c r="BT65" i="3"/>
  <c r="BL65" i="3"/>
  <c r="AZ65" i="3"/>
  <c r="BC66" i="3"/>
  <c r="BD66" i="3"/>
  <c r="BF66" i="3"/>
  <c r="BG66" i="3"/>
  <c r="BH66" i="3"/>
  <c r="BI66" i="3"/>
  <c r="BJ66" i="3"/>
  <c r="BK66" i="3"/>
  <c r="BA66" i="3"/>
  <c r="BM66" i="3"/>
  <c r="BN66" i="3"/>
  <c r="BO66" i="3"/>
  <c r="BP66" i="3"/>
  <c r="BQ66" i="3"/>
  <c r="BR66" i="3"/>
  <c r="BS66" i="3"/>
  <c r="BT66" i="3"/>
  <c r="BL66" i="3"/>
  <c r="AZ66" i="3"/>
  <c r="BC67" i="3"/>
  <c r="BD67" i="3"/>
  <c r="BF67" i="3"/>
  <c r="BG67" i="3"/>
  <c r="BH67" i="3"/>
  <c r="BI67" i="3"/>
  <c r="BJ67" i="3"/>
  <c r="BK67" i="3"/>
  <c r="BA67" i="3"/>
  <c r="BM67" i="3"/>
  <c r="BN67" i="3"/>
  <c r="BO67" i="3"/>
  <c r="BP67" i="3"/>
  <c r="BQ67" i="3"/>
  <c r="BR67" i="3"/>
  <c r="BS67" i="3"/>
  <c r="BT67" i="3"/>
  <c r="BL67" i="3"/>
  <c r="AZ67" i="3"/>
  <c r="BC68" i="3"/>
  <c r="BD68" i="3"/>
  <c r="BF68" i="3"/>
  <c r="BG68" i="3"/>
  <c r="BH68" i="3"/>
  <c r="BI68" i="3"/>
  <c r="BJ68" i="3"/>
  <c r="BK68" i="3"/>
  <c r="BA68" i="3"/>
  <c r="BM68" i="3"/>
  <c r="BN68" i="3"/>
  <c r="BO68" i="3"/>
  <c r="BP68" i="3"/>
  <c r="BQ68" i="3"/>
  <c r="BR68" i="3"/>
  <c r="BS68" i="3"/>
  <c r="BT68" i="3"/>
  <c r="BL68" i="3"/>
  <c r="AZ68" i="3"/>
  <c r="BC69" i="3"/>
  <c r="BD69" i="3"/>
  <c r="BF69" i="3"/>
  <c r="BG69" i="3"/>
  <c r="BH69" i="3"/>
  <c r="BI69" i="3"/>
  <c r="BJ69" i="3"/>
  <c r="BK69" i="3"/>
  <c r="BA69" i="3"/>
  <c r="BM69" i="3"/>
  <c r="BN69" i="3"/>
  <c r="BO69" i="3"/>
  <c r="BP69" i="3"/>
  <c r="BQ69" i="3"/>
  <c r="BR69" i="3"/>
  <c r="BS69" i="3"/>
  <c r="BT69" i="3"/>
  <c r="BL69" i="3"/>
  <c r="AZ69" i="3"/>
  <c r="BC70" i="3"/>
  <c r="BD70" i="3"/>
  <c r="BF70" i="3"/>
  <c r="BG70" i="3"/>
  <c r="BH70" i="3"/>
  <c r="BI70" i="3"/>
  <c r="BJ70" i="3"/>
  <c r="BK70" i="3"/>
  <c r="BA70" i="3"/>
  <c r="BM70" i="3"/>
  <c r="BN70" i="3"/>
  <c r="BO70" i="3"/>
  <c r="BP70" i="3"/>
  <c r="BQ70" i="3"/>
  <c r="BR70" i="3"/>
  <c r="BS70" i="3"/>
  <c r="BT70" i="3"/>
  <c r="BL70" i="3"/>
  <c r="AZ70" i="3"/>
  <c r="BC71" i="3"/>
  <c r="BD71" i="3"/>
  <c r="BF71" i="3"/>
  <c r="BG71" i="3"/>
  <c r="BH71" i="3"/>
  <c r="BI71" i="3"/>
  <c r="BJ71" i="3"/>
  <c r="BK71" i="3"/>
  <c r="BA71" i="3"/>
  <c r="BM71" i="3"/>
  <c r="BN71" i="3"/>
  <c r="BO71" i="3"/>
  <c r="BP71" i="3"/>
  <c r="BQ71" i="3"/>
  <c r="BR71" i="3"/>
  <c r="BS71" i="3"/>
  <c r="BT71" i="3"/>
  <c r="BL71" i="3"/>
  <c r="AZ71" i="3"/>
  <c r="BC72" i="3"/>
  <c r="BD72" i="3"/>
  <c r="BF72" i="3"/>
  <c r="BG72" i="3"/>
  <c r="BH72" i="3"/>
  <c r="BI72" i="3"/>
  <c r="BJ72" i="3"/>
  <c r="BK72" i="3"/>
  <c r="BA72" i="3"/>
  <c r="BM72" i="3"/>
  <c r="BN72" i="3"/>
  <c r="BO72" i="3"/>
  <c r="BP72" i="3"/>
  <c r="BQ72" i="3"/>
  <c r="BR72" i="3"/>
  <c r="BS72" i="3"/>
  <c r="BT72" i="3"/>
  <c r="BL72" i="3"/>
  <c r="AZ72" i="3"/>
  <c r="BC73" i="3"/>
  <c r="BD73" i="3"/>
  <c r="BF73" i="3"/>
  <c r="BG73" i="3"/>
  <c r="BH73" i="3"/>
  <c r="BI73" i="3"/>
  <c r="BJ73" i="3"/>
  <c r="BK73" i="3"/>
  <c r="BA73" i="3"/>
  <c r="BM73" i="3"/>
  <c r="BN73" i="3"/>
  <c r="BO73" i="3"/>
  <c r="BP73" i="3"/>
  <c r="BQ73" i="3"/>
  <c r="BR73" i="3"/>
  <c r="BS73" i="3"/>
  <c r="BT73" i="3"/>
  <c r="BL73" i="3"/>
  <c r="AZ73" i="3"/>
  <c r="BC74" i="3"/>
  <c r="BD74" i="3"/>
  <c r="BF74" i="3"/>
  <c r="BG74" i="3"/>
  <c r="BH74" i="3"/>
  <c r="BI74" i="3"/>
  <c r="BJ74" i="3"/>
  <c r="BK74" i="3"/>
  <c r="BA74" i="3"/>
  <c r="BM74" i="3"/>
  <c r="BN74" i="3"/>
  <c r="BO74" i="3"/>
  <c r="BP74" i="3"/>
  <c r="BQ74" i="3"/>
  <c r="BR74" i="3"/>
  <c r="BS74" i="3"/>
  <c r="BT74" i="3"/>
  <c r="BL74" i="3"/>
  <c r="AZ74" i="3"/>
  <c r="BC75" i="3"/>
  <c r="BD75" i="3"/>
  <c r="BF75" i="3"/>
  <c r="BG75" i="3"/>
  <c r="BH75" i="3"/>
  <c r="BI75" i="3"/>
  <c r="BJ75" i="3"/>
  <c r="BK75" i="3"/>
  <c r="BA75" i="3"/>
  <c r="BM75" i="3"/>
  <c r="BN75" i="3"/>
  <c r="BO75" i="3"/>
  <c r="BP75" i="3"/>
  <c r="BQ75" i="3"/>
  <c r="BR75" i="3"/>
  <c r="BS75" i="3"/>
  <c r="BT75" i="3"/>
  <c r="BL75" i="3"/>
  <c r="AZ75" i="3"/>
  <c r="BC76" i="3"/>
  <c r="BD76" i="3"/>
  <c r="BF76" i="3"/>
  <c r="BG76" i="3"/>
  <c r="BH76" i="3"/>
  <c r="BI76" i="3"/>
  <c r="BJ76" i="3"/>
  <c r="BK76" i="3"/>
  <c r="BA76" i="3"/>
  <c r="BM76" i="3"/>
  <c r="BN76" i="3"/>
  <c r="BO76" i="3"/>
  <c r="BP76" i="3"/>
  <c r="BQ76" i="3"/>
  <c r="BR76" i="3"/>
  <c r="BS76" i="3"/>
  <c r="BT76" i="3"/>
  <c r="BL76" i="3"/>
  <c r="AZ76" i="3"/>
  <c r="BC77" i="3"/>
  <c r="BD77" i="3"/>
  <c r="BF77" i="3"/>
  <c r="BG77" i="3"/>
  <c r="BH77" i="3"/>
  <c r="BI77" i="3"/>
  <c r="BJ77" i="3"/>
  <c r="BK77" i="3"/>
  <c r="BA77" i="3"/>
  <c r="BM77" i="3"/>
  <c r="BN77" i="3"/>
  <c r="BO77" i="3"/>
  <c r="BP77" i="3"/>
  <c r="BQ77" i="3"/>
  <c r="BR77" i="3"/>
  <c r="BS77" i="3"/>
  <c r="BT77" i="3"/>
  <c r="BL77" i="3"/>
  <c r="AZ77" i="3"/>
  <c r="BC78" i="3"/>
  <c r="BD78" i="3"/>
  <c r="BF78" i="3"/>
  <c r="BG78" i="3"/>
  <c r="BH78" i="3"/>
  <c r="BI78" i="3"/>
  <c r="BJ78" i="3"/>
  <c r="BK78" i="3"/>
  <c r="BA78" i="3"/>
  <c r="BM78" i="3"/>
  <c r="BN78" i="3"/>
  <c r="BO78" i="3"/>
  <c r="BP78" i="3"/>
  <c r="BQ78" i="3"/>
  <c r="BR78" i="3"/>
  <c r="BS78" i="3"/>
  <c r="BT78" i="3"/>
  <c r="BL78" i="3"/>
  <c r="AZ78" i="3"/>
  <c r="BC79" i="3"/>
  <c r="BD79" i="3"/>
  <c r="BF79" i="3"/>
  <c r="BG79" i="3"/>
  <c r="BH79" i="3"/>
  <c r="BI79" i="3"/>
  <c r="BJ79" i="3"/>
  <c r="BK79" i="3"/>
  <c r="BA79" i="3"/>
  <c r="BM79" i="3"/>
  <c r="BN79" i="3"/>
  <c r="BO79" i="3"/>
  <c r="BP79" i="3"/>
  <c r="BQ79" i="3"/>
  <c r="BR79" i="3"/>
  <c r="BS79" i="3"/>
  <c r="BT79" i="3"/>
  <c r="BL79" i="3"/>
  <c r="AZ79" i="3"/>
  <c r="BC80" i="3"/>
  <c r="BD80" i="3"/>
  <c r="BF80" i="3"/>
  <c r="BG80" i="3"/>
  <c r="BH80" i="3"/>
  <c r="BI80" i="3"/>
  <c r="BJ80" i="3"/>
  <c r="BK80" i="3"/>
  <c r="BA80" i="3"/>
  <c r="BM80" i="3"/>
  <c r="BN80" i="3"/>
  <c r="BO80" i="3"/>
  <c r="BP80" i="3"/>
  <c r="BQ80" i="3"/>
  <c r="BR80" i="3"/>
  <c r="BS80" i="3"/>
  <c r="BT80" i="3"/>
  <c r="BL80" i="3"/>
  <c r="AZ80" i="3"/>
  <c r="BC81" i="3"/>
  <c r="BD81" i="3"/>
  <c r="BF81" i="3"/>
  <c r="BG81" i="3"/>
  <c r="BH81" i="3"/>
  <c r="BI81" i="3"/>
  <c r="BJ81" i="3"/>
  <c r="BK81" i="3"/>
  <c r="BA81" i="3"/>
  <c r="BM81" i="3"/>
  <c r="BN81" i="3"/>
  <c r="BO81" i="3"/>
  <c r="BP81" i="3"/>
  <c r="BQ81" i="3"/>
  <c r="BR81" i="3"/>
  <c r="BS81" i="3"/>
  <c r="BT81" i="3"/>
  <c r="BL81" i="3"/>
  <c r="AZ81" i="3"/>
  <c r="BC82" i="3"/>
  <c r="BD82" i="3"/>
  <c r="BF82" i="3"/>
  <c r="BG82" i="3"/>
  <c r="BH82" i="3"/>
  <c r="BI82" i="3"/>
  <c r="BJ82" i="3"/>
  <c r="BK82" i="3"/>
  <c r="BA82" i="3"/>
  <c r="BM82" i="3"/>
  <c r="BN82" i="3"/>
  <c r="BO82" i="3"/>
  <c r="BP82" i="3"/>
  <c r="BQ82" i="3"/>
  <c r="BR82" i="3"/>
  <c r="BS82" i="3"/>
  <c r="BT82" i="3"/>
  <c r="BL82" i="3"/>
  <c r="AZ82" i="3"/>
  <c r="BC83" i="3"/>
  <c r="BD83" i="3"/>
  <c r="BF83" i="3"/>
  <c r="BG83" i="3"/>
  <c r="BH83" i="3"/>
  <c r="BI83" i="3"/>
  <c r="BJ83" i="3"/>
  <c r="BK83" i="3"/>
  <c r="BA83" i="3"/>
  <c r="BM83" i="3"/>
  <c r="BN83" i="3"/>
  <c r="BO83" i="3"/>
  <c r="BP83" i="3"/>
  <c r="BQ83" i="3"/>
  <c r="BR83" i="3"/>
  <c r="BS83" i="3"/>
  <c r="BT83" i="3"/>
  <c r="BL83" i="3"/>
  <c r="AZ83" i="3"/>
  <c r="BC84" i="3"/>
  <c r="BD84" i="3"/>
  <c r="BF84" i="3"/>
  <c r="BG84" i="3"/>
  <c r="BH84" i="3"/>
  <c r="BI84" i="3"/>
  <c r="BJ84" i="3"/>
  <c r="BK84" i="3"/>
  <c r="BA84" i="3"/>
  <c r="BM84" i="3"/>
  <c r="BN84" i="3"/>
  <c r="BO84" i="3"/>
  <c r="BP84" i="3"/>
  <c r="BQ84" i="3"/>
  <c r="BR84" i="3"/>
  <c r="BS84" i="3"/>
  <c r="BT84" i="3"/>
  <c r="BL84" i="3"/>
  <c r="AZ84" i="3"/>
  <c r="BC85" i="3"/>
  <c r="BD85" i="3"/>
  <c r="BF85" i="3"/>
  <c r="BG85" i="3"/>
  <c r="BH85" i="3"/>
  <c r="BI85" i="3"/>
  <c r="BJ85" i="3"/>
  <c r="BK85" i="3"/>
  <c r="BA85" i="3"/>
  <c r="BM85" i="3"/>
  <c r="BN85" i="3"/>
  <c r="BO85" i="3"/>
  <c r="BP85" i="3"/>
  <c r="BQ85" i="3"/>
  <c r="BR85" i="3"/>
  <c r="BS85" i="3"/>
  <c r="BT85" i="3"/>
  <c r="BL85" i="3"/>
  <c r="AZ85" i="3"/>
  <c r="BC86" i="3"/>
  <c r="BD86" i="3"/>
  <c r="BF86" i="3"/>
  <c r="BG86" i="3"/>
  <c r="BH86" i="3"/>
  <c r="BI86" i="3"/>
  <c r="BJ86" i="3"/>
  <c r="BK86" i="3"/>
  <c r="BA86" i="3"/>
  <c r="BM86" i="3"/>
  <c r="BN86" i="3"/>
  <c r="BO86" i="3"/>
  <c r="BP86" i="3"/>
  <c r="BQ86" i="3"/>
  <c r="BR86" i="3"/>
  <c r="BS86" i="3"/>
  <c r="BT86" i="3"/>
  <c r="BL86" i="3"/>
  <c r="AZ86" i="3"/>
  <c r="BC87" i="3"/>
  <c r="BD87" i="3"/>
  <c r="BF87" i="3"/>
  <c r="BG87" i="3"/>
  <c r="BH87" i="3"/>
  <c r="BI87" i="3"/>
  <c r="BJ87" i="3"/>
  <c r="BK87" i="3"/>
  <c r="BA87" i="3"/>
  <c r="BM87" i="3"/>
  <c r="BN87" i="3"/>
  <c r="BO87" i="3"/>
  <c r="BP87" i="3"/>
  <c r="BQ87" i="3"/>
  <c r="BR87" i="3"/>
  <c r="BS87" i="3"/>
  <c r="BT87" i="3"/>
  <c r="BL87" i="3"/>
  <c r="AZ87" i="3"/>
  <c r="BC88" i="3"/>
  <c r="BD88" i="3"/>
  <c r="BF88" i="3"/>
  <c r="BG88" i="3"/>
  <c r="BH88" i="3"/>
  <c r="BI88" i="3"/>
  <c r="BJ88" i="3"/>
  <c r="BK88" i="3"/>
  <c r="BA88" i="3"/>
  <c r="BM88" i="3"/>
  <c r="BN88" i="3"/>
  <c r="BO88" i="3"/>
  <c r="BP88" i="3"/>
  <c r="BQ88" i="3"/>
  <c r="BR88" i="3"/>
  <c r="BS88" i="3"/>
  <c r="BT88" i="3"/>
  <c r="BL88" i="3"/>
  <c r="AZ88" i="3"/>
  <c r="BC89" i="3"/>
  <c r="BD89" i="3"/>
  <c r="BF89" i="3"/>
  <c r="BG89" i="3"/>
  <c r="BH89" i="3"/>
  <c r="BI89" i="3"/>
  <c r="BJ89" i="3"/>
  <c r="BK89" i="3"/>
  <c r="BA89" i="3"/>
  <c r="BM89" i="3"/>
  <c r="BN89" i="3"/>
  <c r="BO89" i="3"/>
  <c r="BP89" i="3"/>
  <c r="BQ89" i="3"/>
  <c r="BR89" i="3"/>
  <c r="BS89" i="3"/>
  <c r="BT89" i="3"/>
  <c r="BL89" i="3"/>
  <c r="AZ89" i="3"/>
  <c r="BC90" i="3"/>
  <c r="BD90" i="3"/>
  <c r="BF90" i="3"/>
  <c r="BG90" i="3"/>
  <c r="BH90" i="3"/>
  <c r="BI90" i="3"/>
  <c r="BJ90" i="3"/>
  <c r="BK90" i="3"/>
  <c r="BA90" i="3"/>
  <c r="BM90" i="3"/>
  <c r="BN90" i="3"/>
  <c r="BO90" i="3"/>
  <c r="BP90" i="3"/>
  <c r="BQ90" i="3"/>
  <c r="BR90" i="3"/>
  <c r="BS90" i="3"/>
  <c r="BT90" i="3"/>
  <c r="BL90" i="3"/>
  <c r="AZ90" i="3"/>
  <c r="BC91" i="3"/>
  <c r="BD91" i="3"/>
  <c r="BF91" i="3"/>
  <c r="BG91" i="3"/>
  <c r="BH91" i="3"/>
  <c r="BI91" i="3"/>
  <c r="BJ91" i="3"/>
  <c r="BK91" i="3"/>
  <c r="BA91" i="3"/>
  <c r="BM91" i="3"/>
  <c r="BN91" i="3"/>
  <c r="BO91" i="3"/>
  <c r="BP91" i="3"/>
  <c r="BQ91" i="3"/>
  <c r="BR91" i="3"/>
  <c r="BS91" i="3"/>
  <c r="BT91" i="3"/>
  <c r="BL91" i="3"/>
  <c r="AZ91" i="3"/>
  <c r="BC92" i="3"/>
  <c r="BD92" i="3"/>
  <c r="BF92" i="3"/>
  <c r="BG92" i="3"/>
  <c r="BH92" i="3"/>
  <c r="BI92" i="3"/>
  <c r="BJ92" i="3"/>
  <c r="BK92" i="3"/>
  <c r="BA92" i="3"/>
  <c r="BM92" i="3"/>
  <c r="BN92" i="3"/>
  <c r="BO92" i="3"/>
  <c r="BP92" i="3"/>
  <c r="BQ92" i="3"/>
  <c r="BR92" i="3"/>
  <c r="BS92" i="3"/>
  <c r="BT92" i="3"/>
  <c r="BL92" i="3"/>
  <c r="AZ92" i="3"/>
  <c r="BC93" i="3"/>
  <c r="BD93" i="3"/>
  <c r="BF93" i="3"/>
  <c r="BG93" i="3"/>
  <c r="BH93" i="3"/>
  <c r="BI93" i="3"/>
  <c r="BJ93" i="3"/>
  <c r="BK93" i="3"/>
  <c r="BA93" i="3"/>
  <c r="BM93" i="3"/>
  <c r="BN93" i="3"/>
  <c r="BO93" i="3"/>
  <c r="BP93" i="3"/>
  <c r="BQ93" i="3"/>
  <c r="BR93" i="3"/>
  <c r="BS93" i="3"/>
  <c r="BT93" i="3"/>
  <c r="BL93" i="3"/>
  <c r="AZ93" i="3"/>
  <c r="BC94" i="3"/>
  <c r="BD94" i="3"/>
  <c r="BF94" i="3"/>
  <c r="BG94" i="3"/>
  <c r="BH94" i="3"/>
  <c r="BI94" i="3"/>
  <c r="BJ94" i="3"/>
  <c r="BK94" i="3"/>
  <c r="BA94" i="3"/>
  <c r="BM94" i="3"/>
  <c r="BN94" i="3"/>
  <c r="BO94" i="3"/>
  <c r="BP94" i="3"/>
  <c r="BQ94" i="3"/>
  <c r="BR94" i="3"/>
  <c r="BS94" i="3"/>
  <c r="BT94" i="3"/>
  <c r="BL94" i="3"/>
  <c r="AZ94" i="3"/>
  <c r="BC95" i="3"/>
  <c r="BD95" i="3"/>
  <c r="BF95" i="3"/>
  <c r="BG95" i="3"/>
  <c r="BH95" i="3"/>
  <c r="BI95" i="3"/>
  <c r="BJ95" i="3"/>
  <c r="BK95" i="3"/>
  <c r="BA95" i="3"/>
  <c r="BM95" i="3"/>
  <c r="BN95" i="3"/>
  <c r="BO95" i="3"/>
  <c r="BP95" i="3"/>
  <c r="BQ95" i="3"/>
  <c r="BR95" i="3"/>
  <c r="BS95" i="3"/>
  <c r="BT95" i="3"/>
  <c r="BL95" i="3"/>
  <c r="AZ95" i="3"/>
  <c r="BC96" i="3"/>
  <c r="BD96" i="3"/>
  <c r="BF96" i="3"/>
  <c r="BG96" i="3"/>
  <c r="BH96" i="3"/>
  <c r="BI96" i="3"/>
  <c r="BJ96" i="3"/>
  <c r="BK96" i="3"/>
  <c r="BA96" i="3"/>
  <c r="BM96" i="3"/>
  <c r="BN96" i="3"/>
  <c r="BO96" i="3"/>
  <c r="BP96" i="3"/>
  <c r="BQ96" i="3"/>
  <c r="BR96" i="3"/>
  <c r="BS96" i="3"/>
  <c r="BT96" i="3"/>
  <c r="BL96" i="3"/>
  <c r="AZ96" i="3"/>
  <c r="BC97" i="3"/>
  <c r="BD97" i="3"/>
  <c r="BF97" i="3"/>
  <c r="BG97" i="3"/>
  <c r="BH97" i="3"/>
  <c r="BI97" i="3"/>
  <c r="BJ97" i="3"/>
  <c r="BK97" i="3"/>
  <c r="BA97" i="3"/>
  <c r="BM97" i="3"/>
  <c r="BN97" i="3"/>
  <c r="BO97" i="3"/>
  <c r="BP97" i="3"/>
  <c r="BQ97" i="3"/>
  <c r="BR97" i="3"/>
  <c r="BS97" i="3"/>
  <c r="BT97" i="3"/>
  <c r="BL97" i="3"/>
  <c r="AZ97" i="3"/>
  <c r="BC98" i="3"/>
  <c r="BD98" i="3"/>
  <c r="BF98" i="3"/>
  <c r="BG98" i="3"/>
  <c r="BH98" i="3"/>
  <c r="BI98" i="3"/>
  <c r="BJ98" i="3"/>
  <c r="BK98" i="3"/>
  <c r="BA98" i="3"/>
  <c r="BM98" i="3"/>
  <c r="BN98" i="3"/>
  <c r="BO98" i="3"/>
  <c r="BP98" i="3"/>
  <c r="BQ98" i="3"/>
  <c r="BR98" i="3"/>
  <c r="BS98" i="3"/>
  <c r="BT98" i="3"/>
  <c r="BL98" i="3"/>
  <c r="AZ98" i="3"/>
  <c r="BC99" i="3"/>
  <c r="BD99" i="3"/>
  <c r="BF99" i="3"/>
  <c r="BG99" i="3"/>
  <c r="BH99" i="3"/>
  <c r="BI99" i="3"/>
  <c r="BJ99" i="3"/>
  <c r="BK99" i="3"/>
  <c r="BA99" i="3"/>
  <c r="BM99" i="3"/>
  <c r="BN99" i="3"/>
  <c r="BO99" i="3"/>
  <c r="BP99" i="3"/>
  <c r="BQ99" i="3"/>
  <c r="BR99" i="3"/>
  <c r="BS99" i="3"/>
  <c r="BT99" i="3"/>
  <c r="BL99" i="3"/>
  <c r="AZ99" i="3"/>
  <c r="BC100" i="3"/>
  <c r="BD100" i="3"/>
  <c r="BF100" i="3"/>
  <c r="BG100" i="3"/>
  <c r="BH100" i="3"/>
  <c r="BI100" i="3"/>
  <c r="BJ100" i="3"/>
  <c r="BK100" i="3"/>
  <c r="BA100" i="3"/>
  <c r="BM100" i="3"/>
  <c r="BN100" i="3"/>
  <c r="BO100" i="3"/>
  <c r="BP100" i="3"/>
  <c r="BQ100" i="3"/>
  <c r="BR100" i="3"/>
  <c r="BS100" i="3"/>
  <c r="BT100" i="3"/>
  <c r="BL100" i="3"/>
  <c r="AZ100" i="3"/>
  <c r="BC101" i="3"/>
  <c r="BD101" i="3"/>
  <c r="BF101" i="3"/>
  <c r="BG101" i="3"/>
  <c r="BH101" i="3"/>
  <c r="BI101" i="3"/>
  <c r="BJ101" i="3"/>
  <c r="BK101" i="3"/>
  <c r="BA101" i="3"/>
  <c r="BM101" i="3"/>
  <c r="BN101" i="3"/>
  <c r="BO101" i="3"/>
  <c r="BP101" i="3"/>
  <c r="BQ101" i="3"/>
  <c r="BR101" i="3"/>
  <c r="BS101" i="3"/>
  <c r="BT101" i="3"/>
  <c r="BL101" i="3"/>
  <c r="AZ101" i="3"/>
  <c r="BC102" i="3"/>
  <c r="BD102" i="3"/>
  <c r="BF102" i="3"/>
  <c r="BG102" i="3"/>
  <c r="BH102" i="3"/>
  <c r="BI102" i="3"/>
  <c r="BJ102" i="3"/>
  <c r="BK102" i="3"/>
  <c r="BA102" i="3"/>
  <c r="BM102" i="3"/>
  <c r="BN102" i="3"/>
  <c r="BO102" i="3"/>
  <c r="BP102" i="3"/>
  <c r="BQ102" i="3"/>
  <c r="BR102" i="3"/>
  <c r="BS102" i="3"/>
  <c r="BT102" i="3"/>
  <c r="BL102" i="3"/>
  <c r="AZ102" i="3"/>
  <c r="BC103" i="3"/>
  <c r="BD103" i="3"/>
  <c r="BF103" i="3"/>
  <c r="BG103" i="3"/>
  <c r="BH103" i="3"/>
  <c r="BI103" i="3"/>
  <c r="BJ103" i="3"/>
  <c r="BK103" i="3"/>
  <c r="BA103" i="3"/>
  <c r="BM103" i="3"/>
  <c r="BN103" i="3"/>
  <c r="BO103" i="3"/>
  <c r="BP103" i="3"/>
  <c r="BQ103" i="3"/>
  <c r="BR103" i="3"/>
  <c r="BS103" i="3"/>
  <c r="BT103" i="3"/>
  <c r="BL103" i="3"/>
  <c r="AZ103" i="3"/>
  <c r="BC104" i="3"/>
  <c r="BD104" i="3"/>
  <c r="BF104" i="3"/>
  <c r="BG104" i="3"/>
  <c r="BH104" i="3"/>
  <c r="BI104" i="3"/>
  <c r="BJ104" i="3"/>
  <c r="BK104" i="3"/>
  <c r="BA104" i="3"/>
  <c r="BM104" i="3"/>
  <c r="BN104" i="3"/>
  <c r="BO104" i="3"/>
  <c r="BP104" i="3"/>
  <c r="BQ104" i="3"/>
  <c r="BR104" i="3"/>
  <c r="BS104" i="3"/>
  <c r="BT104" i="3"/>
  <c r="BL104" i="3"/>
  <c r="AZ104" i="3"/>
  <c r="BC105" i="3"/>
  <c r="BD105" i="3"/>
  <c r="BF105" i="3"/>
  <c r="BG105" i="3"/>
  <c r="BH105" i="3"/>
  <c r="BI105" i="3"/>
  <c r="BJ105" i="3"/>
  <c r="BK105" i="3"/>
  <c r="BA105" i="3"/>
  <c r="BM105" i="3"/>
  <c r="BN105" i="3"/>
  <c r="BO105" i="3"/>
  <c r="BP105" i="3"/>
  <c r="BQ105" i="3"/>
  <c r="BR105" i="3"/>
  <c r="BS105" i="3"/>
  <c r="BT105" i="3"/>
  <c r="BL105" i="3"/>
  <c r="AZ105" i="3"/>
  <c r="BC106" i="3"/>
  <c r="BD106" i="3"/>
  <c r="BF106" i="3"/>
  <c r="BG106" i="3"/>
  <c r="BH106" i="3"/>
  <c r="BI106" i="3"/>
  <c r="BJ106" i="3"/>
  <c r="BK106" i="3"/>
  <c r="BA106" i="3"/>
  <c r="BM106" i="3"/>
  <c r="BN106" i="3"/>
  <c r="BO106" i="3"/>
  <c r="BP106" i="3"/>
  <c r="BQ106" i="3"/>
  <c r="BR106" i="3"/>
  <c r="BS106" i="3"/>
  <c r="BT106" i="3"/>
  <c r="BL106" i="3"/>
  <c r="AZ106" i="3"/>
  <c r="BC107" i="3"/>
  <c r="BD107" i="3"/>
  <c r="BF107" i="3"/>
  <c r="BG107" i="3"/>
  <c r="BH107" i="3"/>
  <c r="BI107" i="3"/>
  <c r="BJ107" i="3"/>
  <c r="BK107" i="3"/>
  <c r="BA107" i="3"/>
  <c r="BM107" i="3"/>
  <c r="BN107" i="3"/>
  <c r="BO107" i="3"/>
  <c r="BP107" i="3"/>
  <c r="BQ107" i="3"/>
  <c r="BR107" i="3"/>
  <c r="BS107" i="3"/>
  <c r="BT107" i="3"/>
  <c r="BL107" i="3"/>
  <c r="AZ107" i="3"/>
  <c r="BC108" i="3"/>
  <c r="BD108" i="3"/>
  <c r="BF108" i="3"/>
  <c r="BG108" i="3"/>
  <c r="BH108" i="3"/>
  <c r="BI108" i="3"/>
  <c r="BJ108" i="3"/>
  <c r="BK108" i="3"/>
  <c r="BA108" i="3"/>
  <c r="BM108" i="3"/>
  <c r="BN108" i="3"/>
  <c r="BO108" i="3"/>
  <c r="BP108" i="3"/>
  <c r="BQ108" i="3"/>
  <c r="BR108" i="3"/>
  <c r="BS108" i="3"/>
  <c r="BT108" i="3"/>
  <c r="BL108" i="3"/>
  <c r="AZ108" i="3"/>
  <c r="BC109" i="3"/>
  <c r="BD109" i="3"/>
  <c r="BF109" i="3"/>
  <c r="BG109" i="3"/>
  <c r="BH109" i="3"/>
  <c r="BI109" i="3"/>
  <c r="BJ109" i="3"/>
  <c r="BK109" i="3"/>
  <c r="BA109" i="3"/>
  <c r="BM109" i="3"/>
  <c r="BN109" i="3"/>
  <c r="BO109" i="3"/>
  <c r="BP109" i="3"/>
  <c r="BQ109" i="3"/>
  <c r="BR109" i="3"/>
  <c r="BS109" i="3"/>
  <c r="BT109" i="3"/>
  <c r="BL109" i="3"/>
  <c r="AZ109" i="3"/>
  <c r="BC110" i="3"/>
  <c r="BD110" i="3"/>
  <c r="BF110" i="3"/>
  <c r="BG110" i="3"/>
  <c r="BH110" i="3"/>
  <c r="BI110" i="3"/>
  <c r="BJ110" i="3"/>
  <c r="BK110" i="3"/>
  <c r="BA110" i="3"/>
  <c r="BM110" i="3"/>
  <c r="BN110" i="3"/>
  <c r="BO110" i="3"/>
  <c r="BP110" i="3"/>
  <c r="BQ110" i="3"/>
  <c r="BR110" i="3"/>
  <c r="BS110" i="3"/>
  <c r="BT110" i="3"/>
  <c r="BL110" i="3"/>
  <c r="AZ110" i="3"/>
  <c r="BC111" i="3"/>
  <c r="BD111" i="3"/>
  <c r="BF111" i="3"/>
  <c r="BG111" i="3"/>
  <c r="BH111" i="3"/>
  <c r="BI111" i="3"/>
  <c r="BJ111" i="3"/>
  <c r="BK111" i="3"/>
  <c r="BA111" i="3"/>
  <c r="BM111" i="3"/>
  <c r="BN111" i="3"/>
  <c r="BO111" i="3"/>
  <c r="BP111" i="3"/>
  <c r="BQ111" i="3"/>
  <c r="BR111" i="3"/>
  <c r="BS111" i="3"/>
  <c r="BT111" i="3"/>
  <c r="BL111" i="3"/>
  <c r="AZ111" i="3"/>
  <c r="BC112" i="3"/>
  <c r="BD112" i="3"/>
  <c r="BF112" i="3"/>
  <c r="BG112" i="3"/>
  <c r="BH112" i="3"/>
  <c r="BI112" i="3"/>
  <c r="BJ112" i="3"/>
  <c r="BK112" i="3"/>
  <c r="BA112" i="3"/>
  <c r="BM112" i="3"/>
  <c r="BN112" i="3"/>
  <c r="BO112" i="3"/>
  <c r="BP112" i="3"/>
  <c r="BQ112" i="3"/>
  <c r="BR112" i="3"/>
  <c r="BS112" i="3"/>
  <c r="BT112" i="3"/>
  <c r="BL112" i="3"/>
  <c r="AZ112" i="3"/>
  <c r="BC113" i="3"/>
  <c r="BD113" i="3"/>
  <c r="BF113" i="3"/>
  <c r="BG113" i="3"/>
  <c r="BH113" i="3"/>
  <c r="BI113" i="3"/>
  <c r="BJ113" i="3"/>
  <c r="BK113" i="3"/>
  <c r="BA113" i="3"/>
  <c r="BM113" i="3"/>
  <c r="BN113" i="3"/>
  <c r="BO113" i="3"/>
  <c r="BP113" i="3"/>
  <c r="BQ113" i="3"/>
  <c r="BR113" i="3"/>
  <c r="BS113" i="3"/>
  <c r="BT113" i="3"/>
  <c r="BL113" i="3"/>
  <c r="AZ113" i="3"/>
  <c r="BC114" i="3"/>
  <c r="BD114" i="3"/>
  <c r="BF114" i="3"/>
  <c r="BG114" i="3"/>
  <c r="BH114" i="3"/>
  <c r="BI114" i="3"/>
  <c r="BJ114" i="3"/>
  <c r="BK114" i="3"/>
  <c r="BA114" i="3"/>
  <c r="BM114" i="3"/>
  <c r="BN114" i="3"/>
  <c r="BO114" i="3"/>
  <c r="BP114" i="3"/>
  <c r="BQ114" i="3"/>
  <c r="BR114" i="3"/>
  <c r="BS114" i="3"/>
  <c r="BT114" i="3"/>
  <c r="BL114" i="3"/>
  <c r="AZ114" i="3"/>
  <c r="BC115" i="3"/>
  <c r="BD115" i="3"/>
  <c r="BF115" i="3"/>
  <c r="BG115" i="3"/>
  <c r="BH115" i="3"/>
  <c r="BI115" i="3"/>
  <c r="BJ115" i="3"/>
  <c r="BK115" i="3"/>
  <c r="BA115" i="3"/>
  <c r="BM115" i="3"/>
  <c r="BN115" i="3"/>
  <c r="BO115" i="3"/>
  <c r="BP115" i="3"/>
  <c r="BQ115" i="3"/>
  <c r="BR115" i="3"/>
  <c r="BS115" i="3"/>
  <c r="BT115" i="3"/>
  <c r="BL115" i="3"/>
  <c r="AZ115" i="3"/>
  <c r="BC116" i="3"/>
  <c r="BD116" i="3"/>
  <c r="BF116" i="3"/>
  <c r="BG116" i="3"/>
  <c r="BH116" i="3"/>
  <c r="BI116" i="3"/>
  <c r="BJ116" i="3"/>
  <c r="BK116" i="3"/>
  <c r="BA116" i="3"/>
  <c r="BM116" i="3"/>
  <c r="BN116" i="3"/>
  <c r="BO116" i="3"/>
  <c r="BP116" i="3"/>
  <c r="BQ116" i="3"/>
  <c r="BR116" i="3"/>
  <c r="BS116" i="3"/>
  <c r="BT116" i="3"/>
  <c r="BL116" i="3"/>
  <c r="AZ116" i="3"/>
  <c r="BC117" i="3"/>
  <c r="BD117" i="3"/>
  <c r="BF117" i="3"/>
  <c r="BG117" i="3"/>
  <c r="BH117" i="3"/>
  <c r="BI117" i="3"/>
  <c r="BJ117" i="3"/>
  <c r="BK117" i="3"/>
  <c r="BA117" i="3"/>
  <c r="BM117" i="3"/>
  <c r="BN117" i="3"/>
  <c r="BO117" i="3"/>
  <c r="BP117" i="3"/>
  <c r="BQ117" i="3"/>
  <c r="BR117" i="3"/>
  <c r="BS117" i="3"/>
  <c r="BT117" i="3"/>
  <c r="BL117" i="3"/>
  <c r="AZ117" i="3"/>
  <c r="BC118" i="3"/>
  <c r="BD118" i="3"/>
  <c r="BF118" i="3"/>
  <c r="BG118" i="3"/>
  <c r="BH118" i="3"/>
  <c r="BI118" i="3"/>
  <c r="BJ118" i="3"/>
  <c r="BK118" i="3"/>
  <c r="BA118" i="3"/>
  <c r="BM118" i="3"/>
  <c r="BN118" i="3"/>
  <c r="BO118" i="3"/>
  <c r="BP118" i="3"/>
  <c r="BQ118" i="3"/>
  <c r="BR118" i="3"/>
  <c r="BS118" i="3"/>
  <c r="BT118" i="3"/>
  <c r="BL118" i="3"/>
  <c r="AZ118" i="3"/>
  <c r="BC119" i="3"/>
  <c r="BD119" i="3"/>
  <c r="BF119" i="3"/>
  <c r="BG119" i="3"/>
  <c r="BH119" i="3"/>
  <c r="BI119" i="3"/>
  <c r="BJ119" i="3"/>
  <c r="BK119" i="3"/>
  <c r="BA119" i="3"/>
  <c r="BM119" i="3"/>
  <c r="BN119" i="3"/>
  <c r="BO119" i="3"/>
  <c r="BP119" i="3"/>
  <c r="BQ119" i="3"/>
  <c r="BR119" i="3"/>
  <c r="BS119" i="3"/>
  <c r="BT119" i="3"/>
  <c r="BL119" i="3"/>
  <c r="AZ119" i="3"/>
  <c r="BC120" i="3"/>
  <c r="BD120" i="3"/>
  <c r="BF120" i="3"/>
  <c r="BG120" i="3"/>
  <c r="BH120" i="3"/>
  <c r="BI120" i="3"/>
  <c r="BJ120" i="3"/>
  <c r="BK120" i="3"/>
  <c r="BA120" i="3"/>
  <c r="BM120" i="3"/>
  <c r="BN120" i="3"/>
  <c r="BO120" i="3"/>
  <c r="BP120" i="3"/>
  <c r="BQ120" i="3"/>
  <c r="BR120" i="3"/>
  <c r="BS120" i="3"/>
  <c r="BT120" i="3"/>
  <c r="BL120" i="3"/>
  <c r="AZ120" i="3"/>
  <c r="BC121" i="3"/>
  <c r="BD121" i="3"/>
  <c r="BF121" i="3"/>
  <c r="BG121" i="3"/>
  <c r="BH121" i="3"/>
  <c r="BI121" i="3"/>
  <c r="BJ121" i="3"/>
  <c r="BK121" i="3"/>
  <c r="BA121" i="3"/>
  <c r="BM121" i="3"/>
  <c r="BN121" i="3"/>
  <c r="BO121" i="3"/>
  <c r="BP121" i="3"/>
  <c r="BQ121" i="3"/>
  <c r="BR121" i="3"/>
  <c r="BS121" i="3"/>
  <c r="BT121" i="3"/>
  <c r="BL121" i="3"/>
  <c r="AZ121" i="3"/>
  <c r="BC122" i="3"/>
  <c r="BD122" i="3"/>
  <c r="BF122" i="3"/>
  <c r="BG122" i="3"/>
  <c r="BH122" i="3"/>
  <c r="BI122" i="3"/>
  <c r="BJ122" i="3"/>
  <c r="BK122" i="3"/>
  <c r="BA122" i="3"/>
  <c r="BM122" i="3"/>
  <c r="BN122" i="3"/>
  <c r="BO122" i="3"/>
  <c r="BP122" i="3"/>
  <c r="BQ122" i="3"/>
  <c r="BR122" i="3"/>
  <c r="BS122" i="3"/>
  <c r="BT122" i="3"/>
  <c r="BL122" i="3"/>
  <c r="AZ122" i="3"/>
  <c r="BC123" i="3"/>
  <c r="BD123" i="3"/>
  <c r="BF123" i="3"/>
  <c r="BG123" i="3"/>
  <c r="BH123" i="3"/>
  <c r="BI123" i="3"/>
  <c r="BJ123" i="3"/>
  <c r="BK123" i="3"/>
  <c r="BA123" i="3"/>
  <c r="BM123" i="3"/>
  <c r="BN123" i="3"/>
  <c r="BO123" i="3"/>
  <c r="BP123" i="3"/>
  <c r="BQ123" i="3"/>
  <c r="BR123" i="3"/>
  <c r="BS123" i="3"/>
  <c r="BT123" i="3"/>
  <c r="BL123" i="3"/>
  <c r="AZ123" i="3"/>
  <c r="BC124" i="3"/>
  <c r="BD124" i="3"/>
  <c r="BF124" i="3"/>
  <c r="BG124" i="3"/>
  <c r="BH124" i="3"/>
  <c r="BI124" i="3"/>
  <c r="BJ124" i="3"/>
  <c r="BK124" i="3"/>
  <c r="BA124" i="3"/>
  <c r="BM124" i="3"/>
  <c r="BN124" i="3"/>
  <c r="BO124" i="3"/>
  <c r="BP124" i="3"/>
  <c r="BQ124" i="3"/>
  <c r="BR124" i="3"/>
  <c r="BS124" i="3"/>
  <c r="BT124" i="3"/>
  <c r="BL124" i="3"/>
  <c r="AZ124" i="3"/>
  <c r="BC125" i="3"/>
  <c r="BD125" i="3"/>
  <c r="BF125" i="3"/>
  <c r="BG125" i="3"/>
  <c r="BH125" i="3"/>
  <c r="BI125" i="3"/>
  <c r="BJ125" i="3"/>
  <c r="BK125" i="3"/>
  <c r="BA125" i="3"/>
  <c r="BM125" i="3"/>
  <c r="BN125" i="3"/>
  <c r="BO125" i="3"/>
  <c r="BP125" i="3"/>
  <c r="BQ125" i="3"/>
  <c r="BR125" i="3"/>
  <c r="BS125" i="3"/>
  <c r="BT125" i="3"/>
  <c r="BL125" i="3"/>
  <c r="AZ125" i="3"/>
  <c r="BC126" i="3"/>
  <c r="BD126" i="3"/>
  <c r="BF126" i="3"/>
  <c r="BG126" i="3"/>
  <c r="BH126" i="3"/>
  <c r="BI126" i="3"/>
  <c r="BJ126" i="3"/>
  <c r="BK126" i="3"/>
  <c r="BA126" i="3"/>
  <c r="BM126" i="3"/>
  <c r="BN126" i="3"/>
  <c r="BO126" i="3"/>
  <c r="BP126" i="3"/>
  <c r="BQ126" i="3"/>
  <c r="BR126" i="3"/>
  <c r="BS126" i="3"/>
  <c r="BT126" i="3"/>
  <c r="BL126" i="3"/>
  <c r="AZ126" i="3"/>
  <c r="BC127" i="3"/>
  <c r="BD127" i="3"/>
  <c r="BF127" i="3"/>
  <c r="BG127" i="3"/>
  <c r="BH127" i="3"/>
  <c r="BI127" i="3"/>
  <c r="BJ127" i="3"/>
  <c r="BK127" i="3"/>
  <c r="BA127" i="3"/>
  <c r="BM127" i="3"/>
  <c r="BN127" i="3"/>
  <c r="BO127" i="3"/>
  <c r="BP127" i="3"/>
  <c r="BQ127" i="3"/>
  <c r="BR127" i="3"/>
  <c r="BS127" i="3"/>
  <c r="BT127" i="3"/>
  <c r="BL127" i="3"/>
  <c r="AZ127" i="3"/>
  <c r="BC128" i="3"/>
  <c r="BD128" i="3"/>
  <c r="BF128" i="3"/>
  <c r="BG128" i="3"/>
  <c r="BH128" i="3"/>
  <c r="BI128" i="3"/>
  <c r="BJ128" i="3"/>
  <c r="BK128" i="3"/>
  <c r="BA128" i="3"/>
  <c r="BM128" i="3"/>
  <c r="BN128" i="3"/>
  <c r="BO128" i="3"/>
  <c r="BP128" i="3"/>
  <c r="BQ128" i="3"/>
  <c r="BR128" i="3"/>
  <c r="BS128" i="3"/>
  <c r="BT128" i="3"/>
  <c r="BL128" i="3"/>
  <c r="AZ128" i="3"/>
  <c r="BC129" i="3"/>
  <c r="BD129" i="3"/>
  <c r="BF129" i="3"/>
  <c r="BG129" i="3"/>
  <c r="BH129" i="3"/>
  <c r="BI129" i="3"/>
  <c r="BJ129" i="3"/>
  <c r="BK129" i="3"/>
  <c r="BA129" i="3"/>
  <c r="BM129" i="3"/>
  <c r="BN129" i="3"/>
  <c r="BO129" i="3"/>
  <c r="BP129" i="3"/>
  <c r="BQ129" i="3"/>
  <c r="BR129" i="3"/>
  <c r="BS129" i="3"/>
  <c r="BT129" i="3"/>
  <c r="BL129" i="3"/>
  <c r="AZ129" i="3"/>
  <c r="BC130" i="3"/>
  <c r="BD130" i="3"/>
  <c r="BF130" i="3"/>
  <c r="BG130" i="3"/>
  <c r="BH130" i="3"/>
  <c r="BI130" i="3"/>
  <c r="BJ130" i="3"/>
  <c r="BK130" i="3"/>
  <c r="BA130" i="3"/>
  <c r="BM130" i="3"/>
  <c r="BN130" i="3"/>
  <c r="BO130" i="3"/>
  <c r="BP130" i="3"/>
  <c r="BQ130" i="3"/>
  <c r="BR130" i="3"/>
  <c r="BS130" i="3"/>
  <c r="BT130" i="3"/>
  <c r="BL130" i="3"/>
  <c r="AZ130" i="3"/>
  <c r="BC131" i="3"/>
  <c r="BD131" i="3"/>
  <c r="BF131" i="3"/>
  <c r="BG131" i="3"/>
  <c r="BH131" i="3"/>
  <c r="BI131" i="3"/>
  <c r="BJ131" i="3"/>
  <c r="BK131" i="3"/>
  <c r="BA131" i="3"/>
  <c r="BM131" i="3"/>
  <c r="BN131" i="3"/>
  <c r="BO131" i="3"/>
  <c r="BP131" i="3"/>
  <c r="BQ131" i="3"/>
  <c r="BR131" i="3"/>
  <c r="BS131" i="3"/>
  <c r="BT131" i="3"/>
  <c r="BL131" i="3"/>
  <c r="AZ131" i="3"/>
  <c r="BC132" i="3"/>
  <c r="BD132" i="3"/>
  <c r="BF132" i="3"/>
  <c r="BG132" i="3"/>
  <c r="BH132" i="3"/>
  <c r="BI132" i="3"/>
  <c r="BJ132" i="3"/>
  <c r="BK132" i="3"/>
  <c r="BA132" i="3"/>
  <c r="BM132" i="3"/>
  <c r="BN132" i="3"/>
  <c r="BO132" i="3"/>
  <c r="BP132" i="3"/>
  <c r="BQ132" i="3"/>
  <c r="BR132" i="3"/>
  <c r="BS132" i="3"/>
  <c r="BT132" i="3"/>
  <c r="BL132" i="3"/>
  <c r="AZ132" i="3"/>
  <c r="BC133" i="3"/>
  <c r="BD133" i="3"/>
  <c r="BF133" i="3"/>
  <c r="BG133" i="3"/>
  <c r="BH133" i="3"/>
  <c r="BI133" i="3"/>
  <c r="BJ133" i="3"/>
  <c r="BK133" i="3"/>
  <c r="BA133" i="3"/>
  <c r="BM133" i="3"/>
  <c r="BN133" i="3"/>
  <c r="BO133" i="3"/>
  <c r="BP133" i="3"/>
  <c r="BQ133" i="3"/>
  <c r="BR133" i="3"/>
  <c r="BS133" i="3"/>
  <c r="BT133" i="3"/>
  <c r="BL133" i="3"/>
  <c r="AZ133" i="3"/>
  <c r="BC134" i="3"/>
  <c r="BD134" i="3"/>
  <c r="BF134" i="3"/>
  <c r="BG134" i="3"/>
  <c r="BH134" i="3"/>
  <c r="BI134" i="3"/>
  <c r="BJ134" i="3"/>
  <c r="BK134" i="3"/>
  <c r="BA134" i="3"/>
  <c r="BM134" i="3"/>
  <c r="BN134" i="3"/>
  <c r="BO134" i="3"/>
  <c r="BP134" i="3"/>
  <c r="BQ134" i="3"/>
  <c r="BR134" i="3"/>
  <c r="BS134" i="3"/>
  <c r="BT134" i="3"/>
  <c r="BL134" i="3"/>
  <c r="AZ134" i="3"/>
  <c r="BC135" i="3"/>
  <c r="BD135" i="3"/>
  <c r="BF135" i="3"/>
  <c r="BG135" i="3"/>
  <c r="BH135" i="3"/>
  <c r="BI135" i="3"/>
  <c r="BJ135" i="3"/>
  <c r="BK135" i="3"/>
  <c r="BA135" i="3"/>
  <c r="BM135" i="3"/>
  <c r="BN135" i="3"/>
  <c r="BO135" i="3"/>
  <c r="BP135" i="3"/>
  <c r="BQ135" i="3"/>
  <c r="BR135" i="3"/>
  <c r="BS135" i="3"/>
  <c r="BT135" i="3"/>
  <c r="BL135" i="3"/>
  <c r="AZ135" i="3"/>
  <c r="BC136" i="3"/>
  <c r="BD136" i="3"/>
  <c r="BF136" i="3"/>
  <c r="BG136" i="3"/>
  <c r="BH136" i="3"/>
  <c r="BI136" i="3"/>
  <c r="BJ136" i="3"/>
  <c r="BK136" i="3"/>
  <c r="BA136" i="3"/>
  <c r="BM136" i="3"/>
  <c r="BN136" i="3"/>
  <c r="BO136" i="3"/>
  <c r="BP136" i="3"/>
  <c r="BQ136" i="3"/>
  <c r="BR136" i="3"/>
  <c r="BS136" i="3"/>
  <c r="BT136" i="3"/>
  <c r="BL136" i="3"/>
  <c r="AZ136" i="3"/>
  <c r="BC137" i="3"/>
  <c r="BD137" i="3"/>
  <c r="BF137" i="3"/>
  <c r="BG137" i="3"/>
  <c r="BH137" i="3"/>
  <c r="BI137" i="3"/>
  <c r="BJ137" i="3"/>
  <c r="BK137" i="3"/>
  <c r="BA137" i="3"/>
  <c r="BM137" i="3"/>
  <c r="BN137" i="3"/>
  <c r="BO137" i="3"/>
  <c r="BP137" i="3"/>
  <c r="BQ137" i="3"/>
  <c r="BR137" i="3"/>
  <c r="BS137" i="3"/>
  <c r="BT137" i="3"/>
  <c r="BL137" i="3"/>
  <c r="AZ137" i="3"/>
  <c r="BC138" i="3"/>
  <c r="BD138" i="3"/>
  <c r="BF138" i="3"/>
  <c r="BG138" i="3"/>
  <c r="BH138" i="3"/>
  <c r="BI138" i="3"/>
  <c r="BJ138" i="3"/>
  <c r="BK138" i="3"/>
  <c r="BA138" i="3"/>
  <c r="BM138" i="3"/>
  <c r="BN138" i="3"/>
  <c r="BO138" i="3"/>
  <c r="BP138" i="3"/>
  <c r="BQ138" i="3"/>
  <c r="BR138" i="3"/>
  <c r="BS138" i="3"/>
  <c r="BT138" i="3"/>
  <c r="BL138" i="3"/>
  <c r="AZ138" i="3"/>
  <c r="BC139" i="3"/>
  <c r="BD139" i="3"/>
  <c r="BF139" i="3"/>
  <c r="BG139" i="3"/>
  <c r="BH139" i="3"/>
  <c r="BI139" i="3"/>
  <c r="BJ139" i="3"/>
  <c r="BK139" i="3"/>
  <c r="BA139" i="3"/>
  <c r="BM139" i="3"/>
  <c r="BN139" i="3"/>
  <c r="BO139" i="3"/>
  <c r="BP139" i="3"/>
  <c r="BQ139" i="3"/>
  <c r="BR139" i="3"/>
  <c r="BS139" i="3"/>
  <c r="BT139" i="3"/>
  <c r="BL139" i="3"/>
  <c r="AZ139" i="3"/>
  <c r="BC140" i="3"/>
  <c r="BD140" i="3"/>
  <c r="BF140" i="3"/>
  <c r="BG140" i="3"/>
  <c r="BH140" i="3"/>
  <c r="BI140" i="3"/>
  <c r="BJ140" i="3"/>
  <c r="BK140" i="3"/>
  <c r="BA140" i="3"/>
  <c r="BM140" i="3"/>
  <c r="BN140" i="3"/>
  <c r="BO140" i="3"/>
  <c r="BP140" i="3"/>
  <c r="BQ140" i="3"/>
  <c r="BR140" i="3"/>
  <c r="BS140" i="3"/>
  <c r="BT140" i="3"/>
  <c r="BL140" i="3"/>
  <c r="AZ140" i="3"/>
  <c r="BC141" i="3"/>
  <c r="BD141" i="3"/>
  <c r="BF141" i="3"/>
  <c r="BG141" i="3"/>
  <c r="BH141" i="3"/>
  <c r="BI141" i="3"/>
  <c r="BJ141" i="3"/>
  <c r="BK141" i="3"/>
  <c r="BA141" i="3"/>
  <c r="BM141" i="3"/>
  <c r="BN141" i="3"/>
  <c r="BO141" i="3"/>
  <c r="BP141" i="3"/>
  <c r="BQ141" i="3"/>
  <c r="BR141" i="3"/>
  <c r="BS141" i="3"/>
  <c r="BT141" i="3"/>
  <c r="BL141" i="3"/>
  <c r="AZ141" i="3"/>
  <c r="BC142" i="3"/>
  <c r="BD142" i="3"/>
  <c r="BF142" i="3"/>
  <c r="BG142" i="3"/>
  <c r="BH142" i="3"/>
  <c r="BI142" i="3"/>
  <c r="BJ142" i="3"/>
  <c r="BK142" i="3"/>
  <c r="BA142" i="3"/>
  <c r="BM142" i="3"/>
  <c r="BN142" i="3"/>
  <c r="BO142" i="3"/>
  <c r="BP142" i="3"/>
  <c r="BQ142" i="3"/>
  <c r="BR142" i="3"/>
  <c r="BS142" i="3"/>
  <c r="BT142" i="3"/>
  <c r="BL142" i="3"/>
  <c r="AZ142" i="3"/>
  <c r="BC143" i="3"/>
  <c r="BD143" i="3"/>
  <c r="BF143" i="3"/>
  <c r="BG143" i="3"/>
  <c r="BH143" i="3"/>
  <c r="BI143" i="3"/>
  <c r="BJ143" i="3"/>
  <c r="BK143" i="3"/>
  <c r="BA143" i="3"/>
  <c r="BM143" i="3"/>
  <c r="BN143" i="3"/>
  <c r="BO143" i="3"/>
  <c r="BP143" i="3"/>
  <c r="BQ143" i="3"/>
  <c r="BR143" i="3"/>
  <c r="BS143" i="3"/>
  <c r="BT143" i="3"/>
  <c r="BL143" i="3"/>
  <c r="AZ143" i="3"/>
  <c r="BC144" i="3"/>
  <c r="BD144" i="3"/>
  <c r="BF144" i="3"/>
  <c r="BG144" i="3"/>
  <c r="BH144" i="3"/>
  <c r="BI144" i="3"/>
  <c r="BJ144" i="3"/>
  <c r="BK144" i="3"/>
  <c r="BA144" i="3"/>
  <c r="BM144" i="3"/>
  <c r="BN144" i="3"/>
  <c r="BO144" i="3"/>
  <c r="BP144" i="3"/>
  <c r="BQ144" i="3"/>
  <c r="BR144" i="3"/>
  <c r="BS144" i="3"/>
  <c r="BT144" i="3"/>
  <c r="BL144" i="3"/>
  <c r="AZ144" i="3"/>
  <c r="BC145" i="3"/>
  <c r="BD145" i="3"/>
  <c r="BF145" i="3"/>
  <c r="BG145" i="3"/>
  <c r="BH145" i="3"/>
  <c r="BI145" i="3"/>
  <c r="BJ145" i="3"/>
  <c r="BK145" i="3"/>
  <c r="BA145" i="3"/>
  <c r="BM145" i="3"/>
  <c r="BN145" i="3"/>
  <c r="BO145" i="3"/>
  <c r="BP145" i="3"/>
  <c r="BQ145" i="3"/>
  <c r="BR145" i="3"/>
  <c r="BS145" i="3"/>
  <c r="BT145" i="3"/>
  <c r="BL145" i="3"/>
  <c r="AZ145" i="3"/>
  <c r="BC146" i="3"/>
  <c r="BD146" i="3"/>
  <c r="BF146" i="3"/>
  <c r="BG146" i="3"/>
  <c r="BH146" i="3"/>
  <c r="BI146" i="3"/>
  <c r="BJ146" i="3"/>
  <c r="BK146" i="3"/>
  <c r="BA146" i="3"/>
  <c r="BM146" i="3"/>
  <c r="BN146" i="3"/>
  <c r="BO146" i="3"/>
  <c r="BP146" i="3"/>
  <c r="BQ146" i="3"/>
  <c r="BR146" i="3"/>
  <c r="BS146" i="3"/>
  <c r="BT146" i="3"/>
  <c r="BL146" i="3"/>
  <c r="AZ146" i="3"/>
  <c r="BC147" i="3"/>
  <c r="BD147" i="3"/>
  <c r="BF147" i="3"/>
  <c r="BG147" i="3"/>
  <c r="BH147" i="3"/>
  <c r="BI147" i="3"/>
  <c r="BJ147" i="3"/>
  <c r="BK147" i="3"/>
  <c r="BA147" i="3"/>
  <c r="BM147" i="3"/>
  <c r="BN147" i="3"/>
  <c r="BO147" i="3"/>
  <c r="BP147" i="3"/>
  <c r="BQ147" i="3"/>
  <c r="BR147" i="3"/>
  <c r="BS147" i="3"/>
  <c r="BT147" i="3"/>
  <c r="BL147" i="3"/>
  <c r="AZ147" i="3"/>
  <c r="BC148" i="3"/>
  <c r="BD148" i="3"/>
  <c r="BF148" i="3"/>
  <c r="BG148" i="3"/>
  <c r="BH148" i="3"/>
  <c r="BI148" i="3"/>
  <c r="BJ148" i="3"/>
  <c r="BK148" i="3"/>
  <c r="BA148" i="3"/>
  <c r="BM148" i="3"/>
  <c r="BN148" i="3"/>
  <c r="BO148" i="3"/>
  <c r="BP148" i="3"/>
  <c r="BQ148" i="3"/>
  <c r="BR148" i="3"/>
  <c r="BS148" i="3"/>
  <c r="BT148" i="3"/>
  <c r="BL148" i="3"/>
  <c r="AZ148" i="3"/>
  <c r="BC149" i="3"/>
  <c r="BD149" i="3"/>
  <c r="BF149" i="3"/>
  <c r="BG149" i="3"/>
  <c r="BH149" i="3"/>
  <c r="BI149" i="3"/>
  <c r="BJ149" i="3"/>
  <c r="BK149" i="3"/>
  <c r="BA149" i="3"/>
  <c r="BM149" i="3"/>
  <c r="BN149" i="3"/>
  <c r="BO149" i="3"/>
  <c r="BP149" i="3"/>
  <c r="BQ149" i="3"/>
  <c r="BR149" i="3"/>
  <c r="BS149" i="3"/>
  <c r="BT149" i="3"/>
  <c r="BL149" i="3"/>
  <c r="AZ149" i="3"/>
  <c r="BC150" i="3"/>
  <c r="BD150" i="3"/>
  <c r="BF150" i="3"/>
  <c r="BG150" i="3"/>
  <c r="BH150" i="3"/>
  <c r="BI150" i="3"/>
  <c r="BJ150" i="3"/>
  <c r="BK150" i="3"/>
  <c r="BA150" i="3"/>
  <c r="BM150" i="3"/>
  <c r="BN150" i="3"/>
  <c r="BO150" i="3"/>
  <c r="BP150" i="3"/>
  <c r="BQ150" i="3"/>
  <c r="BR150" i="3"/>
  <c r="BS150" i="3"/>
  <c r="BT150" i="3"/>
  <c r="BL150" i="3"/>
  <c r="AZ150" i="3"/>
  <c r="BC151" i="3"/>
  <c r="BD151" i="3"/>
  <c r="BF151" i="3"/>
  <c r="BG151" i="3"/>
  <c r="BH151" i="3"/>
  <c r="BI151" i="3"/>
  <c r="BJ151" i="3"/>
  <c r="BK151" i="3"/>
  <c r="BA151" i="3"/>
  <c r="BM151" i="3"/>
  <c r="BN151" i="3"/>
  <c r="BO151" i="3"/>
  <c r="BP151" i="3"/>
  <c r="BQ151" i="3"/>
  <c r="BR151" i="3"/>
  <c r="BS151" i="3"/>
  <c r="BT151" i="3"/>
  <c r="BL151" i="3"/>
  <c r="AZ151" i="3"/>
  <c r="BC152" i="3"/>
  <c r="BD152" i="3"/>
  <c r="BF152" i="3"/>
  <c r="BG152" i="3"/>
  <c r="BH152" i="3"/>
  <c r="BI152" i="3"/>
  <c r="BJ152" i="3"/>
  <c r="BK152" i="3"/>
  <c r="BA152" i="3"/>
  <c r="BM152" i="3"/>
  <c r="BN152" i="3"/>
  <c r="BO152" i="3"/>
  <c r="BP152" i="3"/>
  <c r="BQ152" i="3"/>
  <c r="BR152" i="3"/>
  <c r="BS152" i="3"/>
  <c r="BT152" i="3"/>
  <c r="BL152" i="3"/>
  <c r="AZ152" i="3"/>
  <c r="BC153" i="3"/>
  <c r="BD153" i="3"/>
  <c r="BF153" i="3"/>
  <c r="BG153" i="3"/>
  <c r="BH153" i="3"/>
  <c r="BI153" i="3"/>
  <c r="BJ153" i="3"/>
  <c r="BK153" i="3"/>
  <c r="BA153" i="3"/>
  <c r="BM153" i="3"/>
  <c r="BN153" i="3"/>
  <c r="BO153" i="3"/>
  <c r="BP153" i="3"/>
  <c r="BQ153" i="3"/>
  <c r="BR153" i="3"/>
  <c r="BS153" i="3"/>
  <c r="BT153" i="3"/>
  <c r="BL153" i="3"/>
  <c r="AZ153" i="3"/>
  <c r="BC154" i="3"/>
  <c r="BD154" i="3"/>
  <c r="BF154" i="3"/>
  <c r="BG154" i="3"/>
  <c r="BH154" i="3"/>
  <c r="BI154" i="3"/>
  <c r="BJ154" i="3"/>
  <c r="BK154" i="3"/>
  <c r="BA154" i="3"/>
  <c r="BM154" i="3"/>
  <c r="BN154" i="3"/>
  <c r="BO154" i="3"/>
  <c r="BP154" i="3"/>
  <c r="BQ154" i="3"/>
  <c r="BR154" i="3"/>
  <c r="BS154" i="3"/>
  <c r="BT154" i="3"/>
  <c r="BL154" i="3"/>
  <c r="AZ154" i="3"/>
  <c r="BC155" i="3"/>
  <c r="BD155" i="3"/>
  <c r="BF155" i="3"/>
  <c r="BG155" i="3"/>
  <c r="BH155" i="3"/>
  <c r="BI155" i="3"/>
  <c r="BJ155" i="3"/>
  <c r="BK155" i="3"/>
  <c r="BA155" i="3"/>
  <c r="BM155" i="3"/>
  <c r="BN155" i="3"/>
  <c r="BO155" i="3"/>
  <c r="BP155" i="3"/>
  <c r="BQ155" i="3"/>
  <c r="BR155" i="3"/>
  <c r="BS155" i="3"/>
  <c r="BT155" i="3"/>
  <c r="BL155" i="3"/>
  <c r="AZ155" i="3"/>
  <c r="BC156" i="3"/>
  <c r="BD156" i="3"/>
  <c r="BF156" i="3"/>
  <c r="BG156" i="3"/>
  <c r="BH156" i="3"/>
  <c r="BI156" i="3"/>
  <c r="BJ156" i="3"/>
  <c r="BK156" i="3"/>
  <c r="BA156" i="3"/>
  <c r="BM156" i="3"/>
  <c r="BN156" i="3"/>
  <c r="BO156" i="3"/>
  <c r="BP156" i="3"/>
  <c r="BQ156" i="3"/>
  <c r="BR156" i="3"/>
  <c r="BS156" i="3"/>
  <c r="BT156" i="3"/>
  <c r="BL156" i="3"/>
  <c r="AZ156" i="3"/>
  <c r="BC157" i="3"/>
  <c r="BD157" i="3"/>
  <c r="BF157" i="3"/>
  <c r="BG157" i="3"/>
  <c r="BH157" i="3"/>
  <c r="BI157" i="3"/>
  <c r="BJ157" i="3"/>
  <c r="BK157" i="3"/>
  <c r="BA157" i="3"/>
  <c r="BM157" i="3"/>
  <c r="BN157" i="3"/>
  <c r="BO157" i="3"/>
  <c r="BP157" i="3"/>
  <c r="BQ157" i="3"/>
  <c r="BR157" i="3"/>
  <c r="BS157" i="3"/>
  <c r="BT157" i="3"/>
  <c r="BL157" i="3"/>
  <c r="AZ157" i="3"/>
  <c r="BC158" i="3"/>
  <c r="BD158" i="3"/>
  <c r="BF158" i="3"/>
  <c r="BG158" i="3"/>
  <c r="BH158" i="3"/>
  <c r="BI158" i="3"/>
  <c r="BJ158" i="3"/>
  <c r="BK158" i="3"/>
  <c r="BA158" i="3"/>
  <c r="BM158" i="3"/>
  <c r="BN158" i="3"/>
  <c r="BO158" i="3"/>
  <c r="BP158" i="3"/>
  <c r="BQ158" i="3"/>
  <c r="BR158" i="3"/>
  <c r="BS158" i="3"/>
  <c r="BT158" i="3"/>
  <c r="BL158" i="3"/>
  <c r="AZ158" i="3"/>
  <c r="BC159" i="3"/>
  <c r="BD159" i="3"/>
  <c r="BF159" i="3"/>
  <c r="BG159" i="3"/>
  <c r="BH159" i="3"/>
  <c r="BI159" i="3"/>
  <c r="BJ159" i="3"/>
  <c r="BK159" i="3"/>
  <c r="BA159" i="3"/>
  <c r="BM159" i="3"/>
  <c r="BN159" i="3"/>
  <c r="BO159" i="3"/>
  <c r="BP159" i="3"/>
  <c r="BQ159" i="3"/>
  <c r="BR159" i="3"/>
  <c r="BS159" i="3"/>
  <c r="BT159" i="3"/>
  <c r="BL159" i="3"/>
  <c r="AZ159" i="3"/>
  <c r="BC160" i="3"/>
  <c r="BD160" i="3"/>
  <c r="BF160" i="3"/>
  <c r="BG160" i="3"/>
  <c r="BH160" i="3"/>
  <c r="BI160" i="3"/>
  <c r="BJ160" i="3"/>
  <c r="BK160" i="3"/>
  <c r="BA160" i="3"/>
  <c r="BM160" i="3"/>
  <c r="BN160" i="3"/>
  <c r="BO160" i="3"/>
  <c r="BP160" i="3"/>
  <c r="BQ160" i="3"/>
  <c r="BR160" i="3"/>
  <c r="BS160" i="3"/>
  <c r="BT160" i="3"/>
  <c r="BL160" i="3"/>
  <c r="AZ160" i="3"/>
  <c r="BC161" i="3"/>
  <c r="BD161" i="3"/>
  <c r="BF161" i="3"/>
  <c r="BG161" i="3"/>
  <c r="BH161" i="3"/>
  <c r="BI161" i="3"/>
  <c r="BJ161" i="3"/>
  <c r="BK161" i="3"/>
  <c r="BA161" i="3"/>
  <c r="BM161" i="3"/>
  <c r="BN161" i="3"/>
  <c r="BO161" i="3"/>
  <c r="BP161" i="3"/>
  <c r="BQ161" i="3"/>
  <c r="BR161" i="3"/>
  <c r="BS161" i="3"/>
  <c r="BT161" i="3"/>
  <c r="BL161" i="3"/>
  <c r="AZ161" i="3"/>
  <c r="BC162" i="3"/>
  <c r="BD162" i="3"/>
  <c r="BF162" i="3"/>
  <c r="BG162" i="3"/>
  <c r="BH162" i="3"/>
  <c r="BI162" i="3"/>
  <c r="BJ162" i="3"/>
  <c r="BK162" i="3"/>
  <c r="BA162" i="3"/>
  <c r="BM162" i="3"/>
  <c r="BN162" i="3"/>
  <c r="BO162" i="3"/>
  <c r="BP162" i="3"/>
  <c r="BQ162" i="3"/>
  <c r="BR162" i="3"/>
  <c r="BS162" i="3"/>
  <c r="BT162" i="3"/>
  <c r="BL162" i="3"/>
  <c r="AZ162" i="3"/>
  <c r="BC163" i="3"/>
  <c r="BD163" i="3"/>
  <c r="BF163" i="3"/>
  <c r="BG163" i="3"/>
  <c r="BH163" i="3"/>
  <c r="BI163" i="3"/>
  <c r="BJ163" i="3"/>
  <c r="BK163" i="3"/>
  <c r="BA163" i="3"/>
  <c r="BM163" i="3"/>
  <c r="BN163" i="3"/>
  <c r="BO163" i="3"/>
  <c r="BP163" i="3"/>
  <c r="BQ163" i="3"/>
  <c r="BR163" i="3"/>
  <c r="BS163" i="3"/>
  <c r="BT163" i="3"/>
  <c r="BL163" i="3"/>
  <c r="AZ163" i="3"/>
  <c r="BC164" i="3"/>
  <c r="BD164" i="3"/>
  <c r="BF164" i="3"/>
  <c r="BG164" i="3"/>
  <c r="BH164" i="3"/>
  <c r="BI164" i="3"/>
  <c r="BJ164" i="3"/>
  <c r="BK164" i="3"/>
  <c r="BA164" i="3"/>
  <c r="BM164" i="3"/>
  <c r="BN164" i="3"/>
  <c r="BO164" i="3"/>
  <c r="BP164" i="3"/>
  <c r="BQ164" i="3"/>
  <c r="BR164" i="3"/>
  <c r="BS164" i="3"/>
  <c r="BT164" i="3"/>
  <c r="BL164" i="3"/>
  <c r="AZ164" i="3"/>
  <c r="BC165" i="3"/>
  <c r="BD165" i="3"/>
  <c r="BF165" i="3"/>
  <c r="BG165" i="3"/>
  <c r="BH165" i="3"/>
  <c r="BI165" i="3"/>
  <c r="BJ165" i="3"/>
  <c r="BK165" i="3"/>
  <c r="BA165" i="3"/>
  <c r="BM165" i="3"/>
  <c r="BN165" i="3"/>
  <c r="BO165" i="3"/>
  <c r="BP165" i="3"/>
  <c r="BQ165" i="3"/>
  <c r="BR165" i="3"/>
  <c r="BS165" i="3"/>
  <c r="BT165" i="3"/>
  <c r="BL165" i="3"/>
  <c r="AZ165" i="3"/>
  <c r="BC166" i="3"/>
  <c r="BD166" i="3"/>
  <c r="BF166" i="3"/>
  <c r="BG166" i="3"/>
  <c r="BH166" i="3"/>
  <c r="BI166" i="3"/>
  <c r="BJ166" i="3"/>
  <c r="BK166" i="3"/>
  <c r="BA166" i="3"/>
  <c r="BM166" i="3"/>
  <c r="BN166" i="3"/>
  <c r="BO166" i="3"/>
  <c r="BP166" i="3"/>
  <c r="BQ166" i="3"/>
  <c r="BR166" i="3"/>
  <c r="BS166" i="3"/>
  <c r="BT166" i="3"/>
  <c r="BL166" i="3"/>
  <c r="AZ166" i="3"/>
  <c r="BC167" i="3"/>
  <c r="BD167" i="3"/>
  <c r="BF167" i="3"/>
  <c r="BG167" i="3"/>
  <c r="BH167" i="3"/>
  <c r="BI167" i="3"/>
  <c r="BJ167" i="3"/>
  <c r="BK167" i="3"/>
  <c r="BA167" i="3"/>
  <c r="BM167" i="3"/>
  <c r="BN167" i="3"/>
  <c r="BO167" i="3"/>
  <c r="BP167" i="3"/>
  <c r="BQ167" i="3"/>
  <c r="BR167" i="3"/>
  <c r="BS167" i="3"/>
  <c r="BT167" i="3"/>
  <c r="BL167" i="3"/>
  <c r="AZ167" i="3"/>
  <c r="BC168" i="3"/>
  <c r="BD168" i="3"/>
  <c r="BF168" i="3"/>
  <c r="BG168" i="3"/>
  <c r="BH168" i="3"/>
  <c r="BI168" i="3"/>
  <c r="BJ168" i="3"/>
  <c r="BK168" i="3"/>
  <c r="BA168" i="3"/>
  <c r="BM168" i="3"/>
  <c r="BN168" i="3"/>
  <c r="BO168" i="3"/>
  <c r="BP168" i="3"/>
  <c r="BQ168" i="3"/>
  <c r="BR168" i="3"/>
  <c r="BS168" i="3"/>
  <c r="BT168" i="3"/>
  <c r="BL168" i="3"/>
  <c r="AZ168" i="3"/>
  <c r="BC169" i="3"/>
  <c r="BD169" i="3"/>
  <c r="BF169" i="3"/>
  <c r="BG169" i="3"/>
  <c r="BH169" i="3"/>
  <c r="BI169" i="3"/>
  <c r="BJ169" i="3"/>
  <c r="BK169" i="3"/>
  <c r="BA169" i="3"/>
  <c r="BM169" i="3"/>
  <c r="BN169" i="3"/>
  <c r="BO169" i="3"/>
  <c r="BP169" i="3"/>
  <c r="BQ169" i="3"/>
  <c r="BR169" i="3"/>
  <c r="BS169" i="3"/>
  <c r="BT169" i="3"/>
  <c r="BL169" i="3"/>
  <c r="AZ169" i="3"/>
  <c r="BC170" i="3"/>
  <c r="BD170" i="3"/>
  <c r="BF170" i="3"/>
  <c r="BG170" i="3"/>
  <c r="BH170" i="3"/>
  <c r="BI170" i="3"/>
  <c r="BJ170" i="3"/>
  <c r="BK170" i="3"/>
  <c r="BA170" i="3"/>
  <c r="BM170" i="3"/>
  <c r="BN170" i="3"/>
  <c r="BO170" i="3"/>
  <c r="BP170" i="3"/>
  <c r="BQ170" i="3"/>
  <c r="BR170" i="3"/>
  <c r="BS170" i="3"/>
  <c r="BT170" i="3"/>
  <c r="BL170" i="3"/>
  <c r="AZ170" i="3"/>
  <c r="BC171" i="3"/>
  <c r="BD171" i="3"/>
  <c r="BF171" i="3"/>
  <c r="BG171" i="3"/>
  <c r="BH171" i="3"/>
  <c r="BI171" i="3"/>
  <c r="BJ171" i="3"/>
  <c r="BK171" i="3"/>
  <c r="BA171" i="3"/>
  <c r="BM171" i="3"/>
  <c r="BN171" i="3"/>
  <c r="BO171" i="3"/>
  <c r="BP171" i="3"/>
  <c r="BQ171" i="3"/>
  <c r="BR171" i="3"/>
  <c r="BS171" i="3"/>
  <c r="BT171" i="3"/>
  <c r="BL171" i="3"/>
  <c r="AZ171" i="3"/>
  <c r="BC172" i="3"/>
  <c r="BD172" i="3"/>
  <c r="BF172" i="3"/>
  <c r="BG172" i="3"/>
  <c r="BH172" i="3"/>
  <c r="BI172" i="3"/>
  <c r="BJ172" i="3"/>
  <c r="BK172" i="3"/>
  <c r="BA172" i="3"/>
  <c r="BM172" i="3"/>
  <c r="BN172" i="3"/>
  <c r="BO172" i="3"/>
  <c r="BP172" i="3"/>
  <c r="BQ172" i="3"/>
  <c r="BR172" i="3"/>
  <c r="BS172" i="3"/>
  <c r="BT172" i="3"/>
  <c r="BL172" i="3"/>
  <c r="AZ172" i="3"/>
  <c r="BC173" i="3"/>
  <c r="BD173" i="3"/>
  <c r="BF173" i="3"/>
  <c r="BG173" i="3"/>
  <c r="BH173" i="3"/>
  <c r="BI173" i="3"/>
  <c r="BJ173" i="3"/>
  <c r="BK173" i="3"/>
  <c r="BA173" i="3"/>
  <c r="BM173" i="3"/>
  <c r="BN173" i="3"/>
  <c r="BO173" i="3"/>
  <c r="BP173" i="3"/>
  <c r="BQ173" i="3"/>
  <c r="BR173" i="3"/>
  <c r="BS173" i="3"/>
  <c r="BT173" i="3"/>
  <c r="BL173" i="3"/>
  <c r="AZ173" i="3"/>
  <c r="BC174" i="3"/>
  <c r="BD174" i="3"/>
  <c r="BF174" i="3"/>
  <c r="BG174" i="3"/>
  <c r="BH174" i="3"/>
  <c r="BI174" i="3"/>
  <c r="BJ174" i="3"/>
  <c r="BK174" i="3"/>
  <c r="BA174" i="3"/>
  <c r="BM174" i="3"/>
  <c r="BN174" i="3"/>
  <c r="BO174" i="3"/>
  <c r="BP174" i="3"/>
  <c r="BQ174" i="3"/>
  <c r="BR174" i="3"/>
  <c r="BS174" i="3"/>
  <c r="BT174" i="3"/>
  <c r="BL174" i="3"/>
  <c r="AZ174" i="3"/>
  <c r="BC175" i="3"/>
  <c r="BD175" i="3"/>
  <c r="BF175" i="3"/>
  <c r="BG175" i="3"/>
  <c r="BH175" i="3"/>
  <c r="BI175" i="3"/>
  <c r="BJ175" i="3"/>
  <c r="BK175" i="3"/>
  <c r="BA175" i="3"/>
  <c r="BM175" i="3"/>
  <c r="BN175" i="3"/>
  <c r="BO175" i="3"/>
  <c r="BP175" i="3"/>
  <c r="BQ175" i="3"/>
  <c r="BR175" i="3"/>
  <c r="BS175" i="3"/>
  <c r="BT175" i="3"/>
  <c r="BL175" i="3"/>
  <c r="AZ175" i="3"/>
  <c r="BC176" i="3"/>
  <c r="BD176" i="3"/>
  <c r="BF176" i="3"/>
  <c r="BG176" i="3"/>
  <c r="BH176" i="3"/>
  <c r="BI176" i="3"/>
  <c r="BJ176" i="3"/>
  <c r="BK176" i="3"/>
  <c r="BA176" i="3"/>
  <c r="BM176" i="3"/>
  <c r="BN176" i="3"/>
  <c r="BO176" i="3"/>
  <c r="BP176" i="3"/>
  <c r="BQ176" i="3"/>
  <c r="BR176" i="3"/>
  <c r="BS176" i="3"/>
  <c r="BT176" i="3"/>
  <c r="BL176" i="3"/>
  <c r="AZ176" i="3"/>
  <c r="BC177" i="3"/>
  <c r="BD177" i="3"/>
  <c r="BF177" i="3"/>
  <c r="BG177" i="3"/>
  <c r="BH177" i="3"/>
  <c r="BI177" i="3"/>
  <c r="BJ177" i="3"/>
  <c r="BK177" i="3"/>
  <c r="BA177" i="3"/>
  <c r="BM177" i="3"/>
  <c r="BN177" i="3"/>
  <c r="BO177" i="3"/>
  <c r="BP177" i="3"/>
  <c r="BQ177" i="3"/>
  <c r="BR177" i="3"/>
  <c r="BS177" i="3"/>
  <c r="BT177" i="3"/>
  <c r="BL177" i="3"/>
  <c r="AZ177" i="3"/>
  <c r="BC178" i="3"/>
  <c r="BD178" i="3"/>
  <c r="BF178" i="3"/>
  <c r="BG178" i="3"/>
  <c r="BH178" i="3"/>
  <c r="BI178" i="3"/>
  <c r="BJ178" i="3"/>
  <c r="BK178" i="3"/>
  <c r="BA178" i="3"/>
  <c r="BM178" i="3"/>
  <c r="BN178" i="3"/>
  <c r="BO178" i="3"/>
  <c r="BP178" i="3"/>
  <c r="BQ178" i="3"/>
  <c r="BR178" i="3"/>
  <c r="BS178" i="3"/>
  <c r="BT178" i="3"/>
  <c r="BL178" i="3"/>
  <c r="AZ178" i="3"/>
  <c r="BC179" i="3"/>
  <c r="BD179" i="3"/>
  <c r="BF179" i="3"/>
  <c r="BG179" i="3"/>
  <c r="BH179" i="3"/>
  <c r="BI179" i="3"/>
  <c r="BJ179" i="3"/>
  <c r="BK179" i="3"/>
  <c r="BA179" i="3"/>
  <c r="BM179" i="3"/>
  <c r="BN179" i="3"/>
  <c r="BO179" i="3"/>
  <c r="BP179" i="3"/>
  <c r="BQ179" i="3"/>
  <c r="BR179" i="3"/>
  <c r="BS179" i="3"/>
  <c r="BT179" i="3"/>
  <c r="BL179" i="3"/>
  <c r="AZ179" i="3"/>
  <c r="BC180" i="3"/>
  <c r="BD180" i="3"/>
  <c r="BF180" i="3"/>
  <c r="BG180" i="3"/>
  <c r="BH180" i="3"/>
  <c r="BI180" i="3"/>
  <c r="BJ180" i="3"/>
  <c r="BK180" i="3"/>
  <c r="BA180" i="3"/>
  <c r="BM180" i="3"/>
  <c r="BN180" i="3"/>
  <c r="BO180" i="3"/>
  <c r="BP180" i="3"/>
  <c r="BQ180" i="3"/>
  <c r="BR180" i="3"/>
  <c r="BS180" i="3"/>
  <c r="BT180" i="3"/>
  <c r="BL180" i="3"/>
  <c r="AZ180" i="3"/>
  <c r="BC181" i="3"/>
  <c r="BD181" i="3"/>
  <c r="BF181" i="3"/>
  <c r="BG181" i="3"/>
  <c r="BH181" i="3"/>
  <c r="BI181" i="3"/>
  <c r="BJ181" i="3"/>
  <c r="BK181" i="3"/>
  <c r="BA181" i="3"/>
  <c r="BM181" i="3"/>
  <c r="BN181" i="3"/>
  <c r="BO181" i="3"/>
  <c r="BP181" i="3"/>
  <c r="BQ181" i="3"/>
  <c r="BR181" i="3"/>
  <c r="BS181" i="3"/>
  <c r="BT181" i="3"/>
  <c r="BL181" i="3"/>
  <c r="AZ181" i="3"/>
  <c r="BC182" i="3"/>
  <c r="BD182" i="3"/>
  <c r="BF182" i="3"/>
  <c r="BG182" i="3"/>
  <c r="BH182" i="3"/>
  <c r="BI182" i="3"/>
  <c r="BJ182" i="3"/>
  <c r="BK182" i="3"/>
  <c r="BA182" i="3"/>
  <c r="BM182" i="3"/>
  <c r="BN182" i="3"/>
  <c r="BO182" i="3"/>
  <c r="BP182" i="3"/>
  <c r="BQ182" i="3"/>
  <c r="BR182" i="3"/>
  <c r="BS182" i="3"/>
  <c r="BT182" i="3"/>
  <c r="BL182" i="3"/>
  <c r="AZ182" i="3"/>
  <c r="BC183" i="3"/>
  <c r="BD183" i="3"/>
  <c r="BF183" i="3"/>
  <c r="BG183" i="3"/>
  <c r="BH183" i="3"/>
  <c r="BI183" i="3"/>
  <c r="BJ183" i="3"/>
  <c r="BK183" i="3"/>
  <c r="BA183" i="3"/>
  <c r="BM183" i="3"/>
  <c r="BN183" i="3"/>
  <c r="BO183" i="3"/>
  <c r="BP183" i="3"/>
  <c r="BQ183" i="3"/>
  <c r="BR183" i="3"/>
  <c r="BS183" i="3"/>
  <c r="BT183" i="3"/>
  <c r="BL183" i="3"/>
  <c r="AZ183" i="3"/>
  <c r="BC184" i="3"/>
  <c r="BD184" i="3"/>
  <c r="BF184" i="3"/>
  <c r="BG184" i="3"/>
  <c r="BH184" i="3"/>
  <c r="BI184" i="3"/>
  <c r="BJ184" i="3"/>
  <c r="BK184" i="3"/>
  <c r="BA184" i="3"/>
  <c r="BM184" i="3"/>
  <c r="BN184" i="3"/>
  <c r="BO184" i="3"/>
  <c r="BP184" i="3"/>
  <c r="BQ184" i="3"/>
  <c r="BR184" i="3"/>
  <c r="BS184" i="3"/>
  <c r="BT184" i="3"/>
  <c r="BL184" i="3"/>
  <c r="AZ184" i="3"/>
  <c r="BC185" i="3"/>
  <c r="BD185" i="3"/>
  <c r="BF185" i="3"/>
  <c r="BG185" i="3"/>
  <c r="BH185" i="3"/>
  <c r="BI185" i="3"/>
  <c r="BJ185" i="3"/>
  <c r="BK185" i="3"/>
  <c r="BA185" i="3"/>
  <c r="BM185" i="3"/>
  <c r="BN185" i="3"/>
  <c r="BO185" i="3"/>
  <c r="BP185" i="3"/>
  <c r="BQ185" i="3"/>
  <c r="BR185" i="3"/>
  <c r="BS185" i="3"/>
  <c r="BT185" i="3"/>
  <c r="BL185" i="3"/>
  <c r="AZ185" i="3"/>
  <c r="BC186" i="3"/>
  <c r="BD186" i="3"/>
  <c r="BF186" i="3"/>
  <c r="BG186" i="3"/>
  <c r="BH186" i="3"/>
  <c r="BI186" i="3"/>
  <c r="BJ186" i="3"/>
  <c r="BK186" i="3"/>
  <c r="BA186" i="3"/>
  <c r="BM186" i="3"/>
  <c r="BN186" i="3"/>
  <c r="BO186" i="3"/>
  <c r="BP186" i="3"/>
  <c r="BQ186" i="3"/>
  <c r="BR186" i="3"/>
  <c r="BS186" i="3"/>
  <c r="BT186" i="3"/>
  <c r="BL186" i="3"/>
  <c r="AZ186" i="3"/>
  <c r="BC187" i="3"/>
  <c r="BD187" i="3"/>
  <c r="BF187" i="3"/>
  <c r="BG187" i="3"/>
  <c r="BH187" i="3"/>
  <c r="BI187" i="3"/>
  <c r="BJ187" i="3"/>
  <c r="BK187" i="3"/>
  <c r="BA187" i="3"/>
  <c r="BM187" i="3"/>
  <c r="BN187" i="3"/>
  <c r="BO187" i="3"/>
  <c r="BP187" i="3"/>
  <c r="BQ187" i="3"/>
  <c r="BR187" i="3"/>
  <c r="BS187" i="3"/>
  <c r="BT187" i="3"/>
  <c r="BL187" i="3"/>
  <c r="AZ187" i="3"/>
  <c r="BC188" i="3"/>
  <c r="BD188" i="3"/>
  <c r="BF188" i="3"/>
  <c r="BG188" i="3"/>
  <c r="BH188" i="3"/>
  <c r="BI188" i="3"/>
  <c r="BJ188" i="3"/>
  <c r="BK188" i="3"/>
  <c r="BA188" i="3"/>
  <c r="BM188" i="3"/>
  <c r="BN188" i="3"/>
  <c r="BO188" i="3"/>
  <c r="BP188" i="3"/>
  <c r="BQ188" i="3"/>
  <c r="BR188" i="3"/>
  <c r="BS188" i="3"/>
  <c r="BT188" i="3"/>
  <c r="BL188" i="3"/>
  <c r="AZ188" i="3"/>
  <c r="BC189" i="3"/>
  <c r="BD189" i="3"/>
  <c r="BF189" i="3"/>
  <c r="BG189" i="3"/>
  <c r="BH189" i="3"/>
  <c r="BI189" i="3"/>
  <c r="BJ189" i="3"/>
  <c r="BK189" i="3"/>
  <c r="BA189" i="3"/>
  <c r="BM189" i="3"/>
  <c r="BN189" i="3"/>
  <c r="BO189" i="3"/>
  <c r="BP189" i="3"/>
  <c r="BQ189" i="3"/>
  <c r="BR189" i="3"/>
  <c r="BS189" i="3"/>
  <c r="BT189" i="3"/>
  <c r="BL189" i="3"/>
  <c r="AZ189" i="3"/>
  <c r="BC190" i="3"/>
  <c r="BD190" i="3"/>
  <c r="BF190" i="3"/>
  <c r="BG190" i="3"/>
  <c r="BH190" i="3"/>
  <c r="BI190" i="3"/>
  <c r="BJ190" i="3"/>
  <c r="BK190" i="3"/>
  <c r="BA190" i="3"/>
  <c r="BM190" i="3"/>
  <c r="BN190" i="3"/>
  <c r="BO190" i="3"/>
  <c r="BP190" i="3"/>
  <c r="BQ190" i="3"/>
  <c r="BR190" i="3"/>
  <c r="BS190" i="3"/>
  <c r="BT190" i="3"/>
  <c r="BL190" i="3"/>
  <c r="AZ190" i="3"/>
  <c r="BC191" i="3"/>
  <c r="BD191" i="3"/>
  <c r="BF191" i="3"/>
  <c r="BG191" i="3"/>
  <c r="BH191" i="3"/>
  <c r="BI191" i="3"/>
  <c r="BJ191" i="3"/>
  <c r="BK191" i="3"/>
  <c r="BA191" i="3"/>
  <c r="BM191" i="3"/>
  <c r="BN191" i="3"/>
  <c r="BO191" i="3"/>
  <c r="BP191" i="3"/>
  <c r="BQ191" i="3"/>
  <c r="BR191" i="3"/>
  <c r="BS191" i="3"/>
  <c r="BT191" i="3"/>
  <c r="BL191" i="3"/>
  <c r="AZ191" i="3"/>
  <c r="BC192" i="3"/>
  <c r="BD192" i="3"/>
  <c r="BF192" i="3"/>
  <c r="BG192" i="3"/>
  <c r="BH192" i="3"/>
  <c r="BI192" i="3"/>
  <c r="BJ192" i="3"/>
  <c r="BK192" i="3"/>
  <c r="BA192" i="3"/>
  <c r="BM192" i="3"/>
  <c r="BN192" i="3"/>
  <c r="BO192" i="3"/>
  <c r="BP192" i="3"/>
  <c r="BQ192" i="3"/>
  <c r="BR192" i="3"/>
  <c r="BS192" i="3"/>
  <c r="BT192" i="3"/>
  <c r="BL192" i="3"/>
  <c r="AZ192" i="3"/>
  <c r="BC193" i="3"/>
  <c r="BD193" i="3"/>
  <c r="BF193" i="3"/>
  <c r="BG193" i="3"/>
  <c r="BH193" i="3"/>
  <c r="BI193" i="3"/>
  <c r="BJ193" i="3"/>
  <c r="BK193" i="3"/>
  <c r="BA193" i="3"/>
  <c r="BM193" i="3"/>
  <c r="BN193" i="3"/>
  <c r="BO193" i="3"/>
  <c r="BP193" i="3"/>
  <c r="BQ193" i="3"/>
  <c r="BR193" i="3"/>
  <c r="BS193" i="3"/>
  <c r="BT193" i="3"/>
  <c r="BL193" i="3"/>
  <c r="AZ193" i="3"/>
  <c r="BC194" i="3"/>
  <c r="BD194" i="3"/>
  <c r="BF194" i="3"/>
  <c r="BG194" i="3"/>
  <c r="BH194" i="3"/>
  <c r="BI194" i="3"/>
  <c r="BJ194" i="3"/>
  <c r="BK194" i="3"/>
  <c r="BA194" i="3"/>
  <c r="BM194" i="3"/>
  <c r="BN194" i="3"/>
  <c r="BO194" i="3"/>
  <c r="BP194" i="3"/>
  <c r="BQ194" i="3"/>
  <c r="BR194" i="3"/>
  <c r="BS194" i="3"/>
  <c r="BT194" i="3"/>
  <c r="BL194" i="3"/>
  <c r="AZ194" i="3"/>
  <c r="BC195" i="3"/>
  <c r="BD195" i="3"/>
  <c r="BF195" i="3"/>
  <c r="BG195" i="3"/>
  <c r="BH195" i="3"/>
  <c r="BI195" i="3"/>
  <c r="BJ195" i="3"/>
  <c r="BK195" i="3"/>
  <c r="BA195" i="3"/>
  <c r="BM195" i="3"/>
  <c r="BN195" i="3"/>
  <c r="BO195" i="3"/>
  <c r="BP195" i="3"/>
  <c r="BQ195" i="3"/>
  <c r="BR195" i="3"/>
  <c r="BS195" i="3"/>
  <c r="BT195" i="3"/>
  <c r="BL195" i="3"/>
  <c r="AZ195" i="3"/>
  <c r="BC196" i="3"/>
  <c r="BD196" i="3"/>
  <c r="BF196" i="3"/>
  <c r="BG196" i="3"/>
  <c r="BH196" i="3"/>
  <c r="BI196" i="3"/>
  <c r="BJ196" i="3"/>
  <c r="BK196" i="3"/>
  <c r="BA196" i="3"/>
  <c r="BM196" i="3"/>
  <c r="BN196" i="3"/>
  <c r="BO196" i="3"/>
  <c r="BP196" i="3"/>
  <c r="BQ196" i="3"/>
  <c r="BR196" i="3"/>
  <c r="BS196" i="3"/>
  <c r="BT196" i="3"/>
  <c r="BL196" i="3"/>
  <c r="AZ196" i="3"/>
  <c r="BC197" i="3"/>
  <c r="BD197" i="3"/>
  <c r="BF197" i="3"/>
  <c r="BG197" i="3"/>
  <c r="BH197" i="3"/>
  <c r="BI197" i="3"/>
  <c r="BJ197" i="3"/>
  <c r="BK197" i="3"/>
  <c r="BA197" i="3"/>
  <c r="BM197" i="3"/>
  <c r="BN197" i="3"/>
  <c r="BO197" i="3"/>
  <c r="BP197" i="3"/>
  <c r="BQ197" i="3"/>
  <c r="BR197" i="3"/>
  <c r="BS197" i="3"/>
  <c r="BT197" i="3"/>
  <c r="BL197" i="3"/>
  <c r="AZ197" i="3"/>
  <c r="BC198" i="3"/>
  <c r="BD198" i="3"/>
  <c r="BF198" i="3"/>
  <c r="BG198" i="3"/>
  <c r="BH198" i="3"/>
  <c r="BI198" i="3"/>
  <c r="BJ198" i="3"/>
  <c r="BK198" i="3"/>
  <c r="BA198" i="3"/>
  <c r="BM198" i="3"/>
  <c r="BN198" i="3"/>
  <c r="BO198" i="3"/>
  <c r="BP198" i="3"/>
  <c r="BQ198" i="3"/>
  <c r="BR198" i="3"/>
  <c r="BS198" i="3"/>
  <c r="BT198" i="3"/>
  <c r="BL198" i="3"/>
  <c r="AZ198" i="3"/>
  <c r="BC199" i="3"/>
  <c r="BD199" i="3"/>
  <c r="BF199" i="3"/>
  <c r="BG199" i="3"/>
  <c r="BH199" i="3"/>
  <c r="BI199" i="3"/>
  <c r="BJ199" i="3"/>
  <c r="BK199" i="3"/>
  <c r="BA199" i="3"/>
  <c r="BM199" i="3"/>
  <c r="BN199" i="3"/>
  <c r="BO199" i="3"/>
  <c r="BP199" i="3"/>
  <c r="BQ199" i="3"/>
  <c r="BR199" i="3"/>
  <c r="BS199" i="3"/>
  <c r="BT199" i="3"/>
  <c r="BL199" i="3"/>
  <c r="AZ199" i="3"/>
  <c r="BC200" i="3"/>
  <c r="BD200" i="3"/>
  <c r="BF200" i="3"/>
  <c r="BG200" i="3"/>
  <c r="BH200" i="3"/>
  <c r="BI200" i="3"/>
  <c r="BJ200" i="3"/>
  <c r="BK200" i="3"/>
  <c r="BA200" i="3"/>
  <c r="BM200" i="3"/>
  <c r="BN200" i="3"/>
  <c r="BO200" i="3"/>
  <c r="BP200" i="3"/>
  <c r="BQ200" i="3"/>
  <c r="BR200" i="3"/>
  <c r="BS200" i="3"/>
  <c r="BT200" i="3"/>
  <c r="BL200" i="3"/>
  <c r="AZ200" i="3"/>
  <c r="BC201" i="3"/>
  <c r="BD201" i="3"/>
  <c r="BF201" i="3"/>
  <c r="BG201" i="3"/>
  <c r="BH201" i="3"/>
  <c r="BI201" i="3"/>
  <c r="BJ201" i="3"/>
  <c r="BK201" i="3"/>
  <c r="BA201" i="3"/>
  <c r="BM201" i="3"/>
  <c r="BN201" i="3"/>
  <c r="BO201" i="3"/>
  <c r="BP201" i="3"/>
  <c r="BQ201" i="3"/>
  <c r="BR201" i="3"/>
  <c r="BS201" i="3"/>
  <c r="BT201" i="3"/>
  <c r="BL201" i="3"/>
  <c r="AZ201" i="3"/>
  <c r="BC202" i="3"/>
  <c r="BD202" i="3"/>
  <c r="BF202" i="3"/>
  <c r="BG202" i="3"/>
  <c r="BH202" i="3"/>
  <c r="BI202" i="3"/>
  <c r="BJ202" i="3"/>
  <c r="BK202" i="3"/>
  <c r="BA202" i="3"/>
  <c r="BM202" i="3"/>
  <c r="BN202" i="3"/>
  <c r="BO202" i="3"/>
  <c r="BP202" i="3"/>
  <c r="BQ202" i="3"/>
  <c r="BR202" i="3"/>
  <c r="BS202" i="3"/>
  <c r="BT202" i="3"/>
  <c r="BL202" i="3"/>
  <c r="AZ202" i="3"/>
  <c r="BC203" i="3"/>
  <c r="BD203" i="3"/>
  <c r="BF203" i="3"/>
  <c r="BG203" i="3"/>
  <c r="BH203" i="3"/>
  <c r="BI203" i="3"/>
  <c r="BJ203" i="3"/>
  <c r="BK203" i="3"/>
  <c r="BA203" i="3"/>
  <c r="BM203" i="3"/>
  <c r="BN203" i="3"/>
  <c r="BO203" i="3"/>
  <c r="BP203" i="3"/>
  <c r="BQ203" i="3"/>
  <c r="BR203" i="3"/>
  <c r="BS203" i="3"/>
  <c r="BT203" i="3"/>
  <c r="BL203" i="3"/>
  <c r="AZ203" i="3"/>
  <c r="BC204" i="3"/>
  <c r="BD204" i="3"/>
  <c r="BF204" i="3"/>
  <c r="BG204" i="3"/>
  <c r="BH204" i="3"/>
  <c r="BI204" i="3"/>
  <c r="BJ204" i="3"/>
  <c r="BK204" i="3"/>
  <c r="BA204" i="3"/>
  <c r="BM204" i="3"/>
  <c r="BN204" i="3"/>
  <c r="BO204" i="3"/>
  <c r="BP204" i="3"/>
  <c r="BQ204" i="3"/>
  <c r="BR204" i="3"/>
  <c r="BS204" i="3"/>
  <c r="BT204" i="3"/>
  <c r="BL204" i="3"/>
  <c r="AZ204" i="3"/>
  <c r="BC205" i="3"/>
  <c r="BD205" i="3"/>
  <c r="BF205" i="3"/>
  <c r="BG205" i="3"/>
  <c r="BH205" i="3"/>
  <c r="BI205" i="3"/>
  <c r="BJ205" i="3"/>
  <c r="BK205" i="3"/>
  <c r="BA205" i="3"/>
  <c r="BM205" i="3"/>
  <c r="BN205" i="3"/>
  <c r="BO205" i="3"/>
  <c r="BP205" i="3"/>
  <c r="BQ205" i="3"/>
  <c r="BR205" i="3"/>
  <c r="BS205" i="3"/>
  <c r="BT205" i="3"/>
  <c r="BL205" i="3"/>
  <c r="AZ205" i="3"/>
  <c r="BC206" i="3"/>
  <c r="BD206" i="3"/>
  <c r="BF206" i="3"/>
  <c r="BG206" i="3"/>
  <c r="BH206" i="3"/>
  <c r="BI206" i="3"/>
  <c r="BJ206" i="3"/>
  <c r="BK206" i="3"/>
  <c r="BA206" i="3"/>
  <c r="BM206" i="3"/>
  <c r="BN206" i="3"/>
  <c r="BO206" i="3"/>
  <c r="BP206" i="3"/>
  <c r="BQ206" i="3"/>
  <c r="BR206" i="3"/>
  <c r="BS206" i="3"/>
  <c r="BT206" i="3"/>
  <c r="BL206" i="3"/>
  <c r="AZ206" i="3"/>
  <c r="BC207" i="3"/>
  <c r="BD207" i="3"/>
  <c r="BF207" i="3"/>
  <c r="BG207" i="3"/>
  <c r="BH207" i="3"/>
  <c r="BI207" i="3"/>
  <c r="BJ207" i="3"/>
  <c r="BK207" i="3"/>
  <c r="BA207" i="3"/>
  <c r="BM207" i="3"/>
  <c r="BN207" i="3"/>
  <c r="BO207" i="3"/>
  <c r="BP207" i="3"/>
  <c r="BQ207" i="3"/>
  <c r="BR207" i="3"/>
  <c r="BS207" i="3"/>
  <c r="BT207" i="3"/>
  <c r="BL207" i="3"/>
  <c r="AZ207" i="3"/>
  <c r="BC208" i="3"/>
  <c r="BD208" i="3"/>
  <c r="BF208" i="3"/>
  <c r="BG208" i="3"/>
  <c r="BH208" i="3"/>
  <c r="BI208" i="3"/>
  <c r="BJ208" i="3"/>
  <c r="BK208" i="3"/>
  <c r="BA208" i="3"/>
  <c r="BM208" i="3"/>
  <c r="BN208" i="3"/>
  <c r="BO208" i="3"/>
  <c r="BP208" i="3"/>
  <c r="BQ208" i="3"/>
  <c r="BR208" i="3"/>
  <c r="BS208" i="3"/>
  <c r="BT208" i="3"/>
  <c r="BL208" i="3"/>
  <c r="AZ208" i="3"/>
  <c r="BC209" i="3"/>
  <c r="BD209" i="3"/>
  <c r="BF209" i="3"/>
  <c r="BG209" i="3"/>
  <c r="BH209" i="3"/>
  <c r="BI209" i="3"/>
  <c r="BJ209" i="3"/>
  <c r="BK209" i="3"/>
  <c r="BA209" i="3"/>
  <c r="BM209" i="3"/>
  <c r="BN209" i="3"/>
  <c r="BO209" i="3"/>
  <c r="BP209" i="3"/>
  <c r="BQ209" i="3"/>
  <c r="BR209" i="3"/>
  <c r="BS209" i="3"/>
  <c r="BT209" i="3"/>
  <c r="BL209" i="3"/>
  <c r="AZ209" i="3"/>
  <c r="BC210" i="3"/>
  <c r="BD210" i="3"/>
  <c r="BF210" i="3"/>
  <c r="BG210" i="3"/>
  <c r="BH210" i="3"/>
  <c r="BI210" i="3"/>
  <c r="BJ210" i="3"/>
  <c r="BK210" i="3"/>
  <c r="BA210" i="3"/>
  <c r="BM210" i="3"/>
  <c r="BN210" i="3"/>
  <c r="BO210" i="3"/>
  <c r="BP210" i="3"/>
  <c r="BQ210" i="3"/>
  <c r="BR210" i="3"/>
  <c r="BS210" i="3"/>
  <c r="BT210" i="3"/>
  <c r="BL210" i="3"/>
  <c r="AZ210" i="3"/>
  <c r="BC211" i="3"/>
  <c r="BD211" i="3"/>
  <c r="BF211" i="3"/>
  <c r="BG211" i="3"/>
  <c r="BH211" i="3"/>
  <c r="BI211" i="3"/>
  <c r="BJ211" i="3"/>
  <c r="BK211" i="3"/>
  <c r="BA211" i="3"/>
  <c r="BM211" i="3"/>
  <c r="BN211" i="3"/>
  <c r="BO211" i="3"/>
  <c r="BP211" i="3"/>
  <c r="BQ211" i="3"/>
  <c r="BR211" i="3"/>
  <c r="BS211" i="3"/>
  <c r="BT211" i="3"/>
  <c r="BL211" i="3"/>
  <c r="AZ211" i="3"/>
  <c r="BC212" i="3"/>
  <c r="BD212" i="3"/>
  <c r="BF212" i="3"/>
  <c r="BG212" i="3"/>
  <c r="BH212" i="3"/>
  <c r="BI212" i="3"/>
  <c r="BJ212" i="3"/>
  <c r="BK212" i="3"/>
  <c r="BA212" i="3"/>
  <c r="BM212" i="3"/>
  <c r="BN212" i="3"/>
  <c r="BO212" i="3"/>
  <c r="BP212" i="3"/>
  <c r="BQ212" i="3"/>
  <c r="BR212" i="3"/>
  <c r="BS212" i="3"/>
  <c r="BT212" i="3"/>
  <c r="BL212" i="3"/>
  <c r="AZ212" i="3"/>
  <c r="BC213" i="3"/>
  <c r="BD213" i="3"/>
  <c r="BF213" i="3"/>
  <c r="BG213" i="3"/>
  <c r="BH213" i="3"/>
  <c r="BI213" i="3"/>
  <c r="BJ213" i="3"/>
  <c r="BK213" i="3"/>
  <c r="BA213" i="3"/>
  <c r="BM213" i="3"/>
  <c r="BN213" i="3"/>
  <c r="BO213" i="3"/>
  <c r="BP213" i="3"/>
  <c r="BQ213" i="3"/>
  <c r="BR213" i="3"/>
  <c r="BS213" i="3"/>
  <c r="BT213" i="3"/>
  <c r="BL213" i="3"/>
  <c r="AZ213" i="3"/>
  <c r="BC214" i="3"/>
  <c r="BD214" i="3"/>
  <c r="BF214" i="3"/>
  <c r="BG214" i="3"/>
  <c r="BH214" i="3"/>
  <c r="BI214" i="3"/>
  <c r="BJ214" i="3"/>
  <c r="BK214" i="3"/>
  <c r="BA214" i="3"/>
  <c r="BM214" i="3"/>
  <c r="BN214" i="3"/>
  <c r="BO214" i="3"/>
  <c r="BP214" i="3"/>
  <c r="BQ214" i="3"/>
  <c r="BR214" i="3"/>
  <c r="BS214" i="3"/>
  <c r="BT214" i="3"/>
  <c r="BL214" i="3"/>
  <c r="AZ214" i="3"/>
  <c r="BC215" i="3"/>
  <c r="BD215" i="3"/>
  <c r="BF215" i="3"/>
  <c r="BG215" i="3"/>
  <c r="BH215" i="3"/>
  <c r="BI215" i="3"/>
  <c r="BJ215" i="3"/>
  <c r="BK215" i="3"/>
  <c r="BA215" i="3"/>
  <c r="BM215" i="3"/>
  <c r="BN215" i="3"/>
  <c r="BO215" i="3"/>
  <c r="BP215" i="3"/>
  <c r="BQ215" i="3"/>
  <c r="BR215" i="3"/>
  <c r="BS215" i="3"/>
  <c r="BT215" i="3"/>
  <c r="BL215" i="3"/>
  <c r="AZ215" i="3"/>
  <c r="BC216" i="3"/>
  <c r="BD216" i="3"/>
  <c r="BF216" i="3"/>
  <c r="BG216" i="3"/>
  <c r="BH216" i="3"/>
  <c r="BI216" i="3"/>
  <c r="BJ216" i="3"/>
  <c r="BK216" i="3"/>
  <c r="BA216" i="3"/>
  <c r="BM216" i="3"/>
  <c r="BN216" i="3"/>
  <c r="BO216" i="3"/>
  <c r="BP216" i="3"/>
  <c r="BQ216" i="3"/>
  <c r="BR216" i="3"/>
  <c r="BS216" i="3"/>
  <c r="BT216" i="3"/>
  <c r="BL216" i="3"/>
  <c r="AZ216" i="3"/>
  <c r="BC217" i="3"/>
  <c r="BD217" i="3"/>
  <c r="BF217" i="3"/>
  <c r="BG217" i="3"/>
  <c r="BH217" i="3"/>
  <c r="BI217" i="3"/>
  <c r="BJ217" i="3"/>
  <c r="BK217" i="3"/>
  <c r="BA217" i="3"/>
  <c r="BM217" i="3"/>
  <c r="BN217" i="3"/>
  <c r="BO217" i="3"/>
  <c r="BP217" i="3"/>
  <c r="BQ217" i="3"/>
  <c r="BR217" i="3"/>
  <c r="BS217" i="3"/>
  <c r="BT217" i="3"/>
  <c r="BL217" i="3"/>
  <c r="AZ217" i="3"/>
  <c r="BC218" i="3"/>
  <c r="BD218" i="3"/>
  <c r="BF218" i="3"/>
  <c r="BG218" i="3"/>
  <c r="BH218" i="3"/>
  <c r="BI218" i="3"/>
  <c r="BJ218" i="3"/>
  <c r="BK218" i="3"/>
  <c r="BA218" i="3"/>
  <c r="BM218" i="3"/>
  <c r="BN218" i="3"/>
  <c r="BO218" i="3"/>
  <c r="BP218" i="3"/>
  <c r="BQ218" i="3"/>
  <c r="BR218" i="3"/>
  <c r="BS218" i="3"/>
  <c r="BT218" i="3"/>
  <c r="BL218" i="3"/>
  <c r="AZ218" i="3"/>
  <c r="BC219" i="3"/>
  <c r="BD219" i="3"/>
  <c r="BF219" i="3"/>
  <c r="BG219" i="3"/>
  <c r="BH219" i="3"/>
  <c r="BI219" i="3"/>
  <c r="BJ219" i="3"/>
  <c r="BK219" i="3"/>
  <c r="BA219" i="3"/>
  <c r="BM219" i="3"/>
  <c r="BN219" i="3"/>
  <c r="BO219" i="3"/>
  <c r="BP219" i="3"/>
  <c r="BQ219" i="3"/>
  <c r="BR219" i="3"/>
  <c r="BS219" i="3"/>
  <c r="BT219" i="3"/>
  <c r="BL219" i="3"/>
  <c r="AZ219" i="3"/>
  <c r="BC220" i="3"/>
  <c r="BD220" i="3"/>
  <c r="BF220" i="3"/>
  <c r="BG220" i="3"/>
  <c r="BH220" i="3"/>
  <c r="BI220" i="3"/>
  <c r="BJ220" i="3"/>
  <c r="BK220" i="3"/>
  <c r="BA220" i="3"/>
  <c r="BM220" i="3"/>
  <c r="BN220" i="3"/>
  <c r="BO220" i="3"/>
  <c r="BP220" i="3"/>
  <c r="BQ220" i="3"/>
  <c r="BR220" i="3"/>
  <c r="BS220" i="3"/>
  <c r="BT220" i="3"/>
  <c r="BL220" i="3"/>
  <c r="AZ220" i="3"/>
  <c r="BC221" i="3"/>
  <c r="BD221" i="3"/>
  <c r="BF221" i="3"/>
  <c r="BG221" i="3"/>
  <c r="BH221" i="3"/>
  <c r="BI221" i="3"/>
  <c r="BJ221" i="3"/>
  <c r="BK221" i="3"/>
  <c r="BA221" i="3"/>
  <c r="BM221" i="3"/>
  <c r="BN221" i="3"/>
  <c r="BO221" i="3"/>
  <c r="BP221" i="3"/>
  <c r="BQ221" i="3"/>
  <c r="BR221" i="3"/>
  <c r="BS221" i="3"/>
  <c r="BT221" i="3"/>
  <c r="BL221" i="3"/>
  <c r="AZ221" i="3"/>
  <c r="BC222" i="3"/>
  <c r="BD222" i="3"/>
  <c r="BF222" i="3"/>
  <c r="BG222" i="3"/>
  <c r="BH222" i="3"/>
  <c r="BI222" i="3"/>
  <c r="BJ222" i="3"/>
  <c r="BK222" i="3"/>
  <c r="BA222" i="3"/>
  <c r="BM222" i="3"/>
  <c r="BN222" i="3"/>
  <c r="BO222" i="3"/>
  <c r="BP222" i="3"/>
  <c r="BQ222" i="3"/>
  <c r="BR222" i="3"/>
  <c r="BS222" i="3"/>
  <c r="BT222" i="3"/>
  <c r="BL222" i="3"/>
  <c r="AZ222" i="3"/>
  <c r="BC223" i="3"/>
  <c r="BD223" i="3"/>
  <c r="BF223" i="3"/>
  <c r="BG223" i="3"/>
  <c r="BH223" i="3"/>
  <c r="BI223" i="3"/>
  <c r="BJ223" i="3"/>
  <c r="BK223" i="3"/>
  <c r="BA223" i="3"/>
  <c r="BM223" i="3"/>
  <c r="BN223" i="3"/>
  <c r="BO223" i="3"/>
  <c r="BP223" i="3"/>
  <c r="BQ223" i="3"/>
  <c r="BR223" i="3"/>
  <c r="BS223" i="3"/>
  <c r="BT223" i="3"/>
  <c r="BL223" i="3"/>
  <c r="AZ223" i="3"/>
  <c r="BC224" i="3"/>
  <c r="BD224" i="3"/>
  <c r="BF224" i="3"/>
  <c r="BG224" i="3"/>
  <c r="BH224" i="3"/>
  <c r="BI224" i="3"/>
  <c r="BJ224" i="3"/>
  <c r="BK224" i="3"/>
  <c r="BA224" i="3"/>
  <c r="BM224" i="3"/>
  <c r="BN224" i="3"/>
  <c r="BO224" i="3"/>
  <c r="BP224" i="3"/>
  <c r="BQ224" i="3"/>
  <c r="BR224" i="3"/>
  <c r="BS224" i="3"/>
  <c r="BT224" i="3"/>
  <c r="BL224" i="3"/>
  <c r="AZ224" i="3"/>
  <c r="BC225" i="3"/>
  <c r="BD225" i="3"/>
  <c r="BF225" i="3"/>
  <c r="BG225" i="3"/>
  <c r="BH225" i="3"/>
  <c r="BI225" i="3"/>
  <c r="BJ225" i="3"/>
  <c r="BK225" i="3"/>
  <c r="BA225" i="3"/>
  <c r="BM225" i="3"/>
  <c r="BN225" i="3"/>
  <c r="BO225" i="3"/>
  <c r="BP225" i="3"/>
  <c r="BQ225" i="3"/>
  <c r="BR225" i="3"/>
  <c r="BS225" i="3"/>
  <c r="BT225" i="3"/>
  <c r="BL225" i="3"/>
  <c r="AZ225" i="3"/>
  <c r="BC226" i="3"/>
  <c r="BD226" i="3"/>
  <c r="BF226" i="3"/>
  <c r="BG226" i="3"/>
  <c r="BH226" i="3"/>
  <c r="BI226" i="3"/>
  <c r="BJ226" i="3"/>
  <c r="BK226" i="3"/>
  <c r="BA226" i="3"/>
  <c r="BM226" i="3"/>
  <c r="BN226" i="3"/>
  <c r="BO226" i="3"/>
  <c r="BP226" i="3"/>
  <c r="BQ226" i="3"/>
  <c r="BR226" i="3"/>
  <c r="BS226" i="3"/>
  <c r="BT226" i="3"/>
  <c r="BL226" i="3"/>
  <c r="AZ226" i="3"/>
  <c r="BC227" i="3"/>
  <c r="BD227" i="3"/>
  <c r="BF227" i="3"/>
  <c r="BG227" i="3"/>
  <c r="BH227" i="3"/>
  <c r="BI227" i="3"/>
  <c r="BJ227" i="3"/>
  <c r="BK227" i="3"/>
  <c r="BA227" i="3"/>
  <c r="BM227" i="3"/>
  <c r="BN227" i="3"/>
  <c r="BO227" i="3"/>
  <c r="BP227" i="3"/>
  <c r="BQ227" i="3"/>
  <c r="BR227" i="3"/>
  <c r="BS227" i="3"/>
  <c r="BT227" i="3"/>
  <c r="BL227" i="3"/>
  <c r="AZ227" i="3"/>
  <c r="BC228" i="3"/>
  <c r="BD228" i="3"/>
  <c r="BF228" i="3"/>
  <c r="BG228" i="3"/>
  <c r="BH228" i="3"/>
  <c r="BI228" i="3"/>
  <c r="BJ228" i="3"/>
  <c r="BK228" i="3"/>
  <c r="BA228" i="3"/>
  <c r="BM228" i="3"/>
  <c r="BN228" i="3"/>
  <c r="BO228" i="3"/>
  <c r="BP228" i="3"/>
  <c r="BQ228" i="3"/>
  <c r="BR228" i="3"/>
  <c r="BS228" i="3"/>
  <c r="BT228" i="3"/>
  <c r="BL228" i="3"/>
  <c r="AZ228" i="3"/>
  <c r="BC229" i="3"/>
  <c r="BD229" i="3"/>
  <c r="BF229" i="3"/>
  <c r="BG229" i="3"/>
  <c r="BH229" i="3"/>
  <c r="BI229" i="3"/>
  <c r="BJ229" i="3"/>
  <c r="BK229" i="3"/>
  <c r="BA229" i="3"/>
  <c r="BM229" i="3"/>
  <c r="BN229" i="3"/>
  <c r="BO229" i="3"/>
  <c r="BP229" i="3"/>
  <c r="BQ229" i="3"/>
  <c r="BR229" i="3"/>
  <c r="BS229" i="3"/>
  <c r="BT229" i="3"/>
  <c r="BL229" i="3"/>
  <c r="AZ229" i="3"/>
  <c r="BC230" i="3"/>
  <c r="BD230" i="3"/>
  <c r="BF230" i="3"/>
  <c r="BG230" i="3"/>
  <c r="BH230" i="3"/>
  <c r="BI230" i="3"/>
  <c r="BJ230" i="3"/>
  <c r="BK230" i="3"/>
  <c r="BA230" i="3"/>
  <c r="BM230" i="3"/>
  <c r="BN230" i="3"/>
  <c r="BO230" i="3"/>
  <c r="BP230" i="3"/>
  <c r="BQ230" i="3"/>
  <c r="BR230" i="3"/>
  <c r="BS230" i="3"/>
  <c r="BT230" i="3"/>
  <c r="BL230" i="3"/>
  <c r="AZ230" i="3"/>
  <c r="BC231" i="3"/>
  <c r="BD231" i="3"/>
  <c r="BF231" i="3"/>
  <c r="BG231" i="3"/>
  <c r="BH231" i="3"/>
  <c r="BI231" i="3"/>
  <c r="BJ231" i="3"/>
  <c r="BK231" i="3"/>
  <c r="BA231" i="3"/>
  <c r="BM231" i="3"/>
  <c r="BN231" i="3"/>
  <c r="BO231" i="3"/>
  <c r="BP231" i="3"/>
  <c r="BQ231" i="3"/>
  <c r="BR231" i="3"/>
  <c r="BS231" i="3"/>
  <c r="BT231" i="3"/>
  <c r="BL231" i="3"/>
  <c r="AZ231" i="3"/>
  <c r="BC232" i="3"/>
  <c r="BD232" i="3"/>
  <c r="BF232" i="3"/>
  <c r="BG232" i="3"/>
  <c r="BH232" i="3"/>
  <c r="BI232" i="3"/>
  <c r="BJ232" i="3"/>
  <c r="BK232" i="3"/>
  <c r="BA232" i="3"/>
  <c r="BM232" i="3"/>
  <c r="BN232" i="3"/>
  <c r="BO232" i="3"/>
  <c r="BP232" i="3"/>
  <c r="BQ232" i="3"/>
  <c r="BR232" i="3"/>
  <c r="BS232" i="3"/>
  <c r="BT232" i="3"/>
  <c r="BL232" i="3"/>
  <c r="AZ232" i="3"/>
  <c r="BC233" i="3"/>
  <c r="BD233" i="3"/>
  <c r="BF233" i="3"/>
  <c r="BG233" i="3"/>
  <c r="BH233" i="3"/>
  <c r="BI233" i="3"/>
  <c r="BJ233" i="3"/>
  <c r="BK233" i="3"/>
  <c r="BA233" i="3"/>
  <c r="BM233" i="3"/>
  <c r="BN233" i="3"/>
  <c r="BO233" i="3"/>
  <c r="BP233" i="3"/>
  <c r="BQ233" i="3"/>
  <c r="BR233" i="3"/>
  <c r="BS233" i="3"/>
  <c r="BT233" i="3"/>
  <c r="BL233" i="3"/>
  <c r="AZ233" i="3"/>
  <c r="BC234" i="3"/>
  <c r="BD234" i="3"/>
  <c r="BF234" i="3"/>
  <c r="BG234" i="3"/>
  <c r="BH234" i="3"/>
  <c r="BI234" i="3"/>
  <c r="BJ234" i="3"/>
  <c r="BK234" i="3"/>
  <c r="BA234" i="3"/>
  <c r="BM234" i="3"/>
  <c r="BN234" i="3"/>
  <c r="BO234" i="3"/>
  <c r="BP234" i="3"/>
  <c r="BQ234" i="3"/>
  <c r="BR234" i="3"/>
  <c r="BS234" i="3"/>
  <c r="BT234" i="3"/>
  <c r="BL234" i="3"/>
  <c r="AZ234" i="3"/>
  <c r="BC235" i="3"/>
  <c r="BD235" i="3"/>
  <c r="BF235" i="3"/>
  <c r="BG235" i="3"/>
  <c r="BH235" i="3"/>
  <c r="BI235" i="3"/>
  <c r="BJ235" i="3"/>
  <c r="BK235" i="3"/>
  <c r="BA235" i="3"/>
  <c r="BM235" i="3"/>
  <c r="BN235" i="3"/>
  <c r="BO235" i="3"/>
  <c r="BP235" i="3"/>
  <c r="BQ235" i="3"/>
  <c r="BR235" i="3"/>
  <c r="BS235" i="3"/>
  <c r="BT235" i="3"/>
  <c r="BL235" i="3"/>
  <c r="AZ235" i="3"/>
  <c r="BC236" i="3"/>
  <c r="BD236" i="3"/>
  <c r="BF236" i="3"/>
  <c r="BG236" i="3"/>
  <c r="BH236" i="3"/>
  <c r="BI236" i="3"/>
  <c r="BJ236" i="3"/>
  <c r="BK236" i="3"/>
  <c r="BA236" i="3"/>
  <c r="BM236" i="3"/>
  <c r="BN236" i="3"/>
  <c r="BO236" i="3"/>
  <c r="BP236" i="3"/>
  <c r="BQ236" i="3"/>
  <c r="BR236" i="3"/>
  <c r="BS236" i="3"/>
  <c r="BT236" i="3"/>
  <c r="BL236" i="3"/>
  <c r="AZ236" i="3"/>
  <c r="BC237" i="3"/>
  <c r="BD237" i="3"/>
  <c r="BF237" i="3"/>
  <c r="BG237" i="3"/>
  <c r="BH237" i="3"/>
  <c r="BI237" i="3"/>
  <c r="BJ237" i="3"/>
  <c r="BK237" i="3"/>
  <c r="BA237" i="3"/>
  <c r="BM237" i="3"/>
  <c r="BN237" i="3"/>
  <c r="BO237" i="3"/>
  <c r="BP237" i="3"/>
  <c r="BQ237" i="3"/>
  <c r="BR237" i="3"/>
  <c r="BS237" i="3"/>
  <c r="BT237" i="3"/>
  <c r="BL237" i="3"/>
  <c r="AZ237" i="3"/>
  <c r="BC238" i="3"/>
  <c r="BD238" i="3"/>
  <c r="BF238" i="3"/>
  <c r="BG238" i="3"/>
  <c r="BH238" i="3"/>
  <c r="BI238" i="3"/>
  <c r="BJ238" i="3"/>
  <c r="BK238" i="3"/>
  <c r="BA238" i="3"/>
  <c r="BM238" i="3"/>
  <c r="BN238" i="3"/>
  <c r="BO238" i="3"/>
  <c r="BP238" i="3"/>
  <c r="BQ238" i="3"/>
  <c r="BR238" i="3"/>
  <c r="BS238" i="3"/>
  <c r="BT238" i="3"/>
  <c r="BL238" i="3"/>
  <c r="AZ238" i="3"/>
  <c r="BC239" i="3"/>
  <c r="BD239" i="3"/>
  <c r="BF239" i="3"/>
  <c r="BG239" i="3"/>
  <c r="BH239" i="3"/>
  <c r="BI239" i="3"/>
  <c r="BJ239" i="3"/>
  <c r="BK239" i="3"/>
  <c r="BA239" i="3"/>
  <c r="BM239" i="3"/>
  <c r="BN239" i="3"/>
  <c r="BO239" i="3"/>
  <c r="BP239" i="3"/>
  <c r="BQ239" i="3"/>
  <c r="BR239" i="3"/>
  <c r="BS239" i="3"/>
  <c r="BT239" i="3"/>
  <c r="BL239" i="3"/>
  <c r="AZ239" i="3"/>
  <c r="BC240" i="3"/>
  <c r="BD240" i="3"/>
  <c r="BF240" i="3"/>
  <c r="BG240" i="3"/>
  <c r="BH240" i="3"/>
  <c r="BI240" i="3"/>
  <c r="BJ240" i="3"/>
  <c r="BK240" i="3"/>
  <c r="BA240" i="3"/>
  <c r="BM240" i="3"/>
  <c r="BN240" i="3"/>
  <c r="BO240" i="3"/>
  <c r="BP240" i="3"/>
  <c r="BQ240" i="3"/>
  <c r="BR240" i="3"/>
  <c r="BS240" i="3"/>
  <c r="BT240" i="3"/>
  <c r="BL240" i="3"/>
  <c r="AZ240" i="3"/>
  <c r="BC241" i="3"/>
  <c r="BD241" i="3"/>
  <c r="BF241" i="3"/>
  <c r="BG241" i="3"/>
  <c r="BH241" i="3"/>
  <c r="BI241" i="3"/>
  <c r="BJ241" i="3"/>
  <c r="BK241" i="3"/>
  <c r="BA241" i="3"/>
  <c r="BM241" i="3"/>
  <c r="BN241" i="3"/>
  <c r="BO241" i="3"/>
  <c r="BP241" i="3"/>
  <c r="BQ241" i="3"/>
  <c r="BR241" i="3"/>
  <c r="BS241" i="3"/>
  <c r="BT241" i="3"/>
  <c r="BL241" i="3"/>
  <c r="AZ241" i="3"/>
  <c r="BC242" i="3"/>
  <c r="BD242" i="3"/>
  <c r="BF242" i="3"/>
  <c r="BG242" i="3"/>
  <c r="BH242" i="3"/>
  <c r="BI242" i="3"/>
  <c r="BJ242" i="3"/>
  <c r="BK242" i="3"/>
  <c r="BA242" i="3"/>
  <c r="BM242" i="3"/>
  <c r="BN242" i="3"/>
  <c r="BO242" i="3"/>
  <c r="BP242" i="3"/>
  <c r="BQ242" i="3"/>
  <c r="BR242" i="3"/>
  <c r="BS242" i="3"/>
  <c r="BT242" i="3"/>
  <c r="BL242" i="3"/>
  <c r="AZ242" i="3"/>
  <c r="BC243" i="3"/>
  <c r="BD243" i="3"/>
  <c r="BF243" i="3"/>
  <c r="BG243" i="3"/>
  <c r="BH243" i="3"/>
  <c r="BI243" i="3"/>
  <c r="BJ243" i="3"/>
  <c r="BK243" i="3"/>
  <c r="BA243" i="3"/>
  <c r="BM243" i="3"/>
  <c r="BN243" i="3"/>
  <c r="BO243" i="3"/>
  <c r="BP243" i="3"/>
  <c r="BQ243" i="3"/>
  <c r="BR243" i="3"/>
  <c r="BS243" i="3"/>
  <c r="BT243" i="3"/>
  <c r="BL243" i="3"/>
  <c r="AZ243" i="3"/>
  <c r="BC244" i="3"/>
  <c r="BD244" i="3"/>
  <c r="BF244" i="3"/>
  <c r="BG244" i="3"/>
  <c r="BH244" i="3"/>
  <c r="BI244" i="3"/>
  <c r="BJ244" i="3"/>
  <c r="BK244" i="3"/>
  <c r="BA244" i="3"/>
  <c r="BM244" i="3"/>
  <c r="BN244" i="3"/>
  <c r="BO244" i="3"/>
  <c r="BP244" i="3"/>
  <c r="BQ244" i="3"/>
  <c r="BR244" i="3"/>
  <c r="BS244" i="3"/>
  <c r="BT244" i="3"/>
  <c r="BL244" i="3"/>
  <c r="AZ244" i="3"/>
  <c r="BC245" i="3"/>
  <c r="BD245" i="3"/>
  <c r="BF245" i="3"/>
  <c r="BG245" i="3"/>
  <c r="BH245" i="3"/>
  <c r="BI245" i="3"/>
  <c r="BJ245" i="3"/>
  <c r="BK245" i="3"/>
  <c r="BA245" i="3"/>
  <c r="BM245" i="3"/>
  <c r="BN245" i="3"/>
  <c r="BO245" i="3"/>
  <c r="BP245" i="3"/>
  <c r="BQ245" i="3"/>
  <c r="BR245" i="3"/>
  <c r="BS245" i="3"/>
  <c r="BT245" i="3"/>
  <c r="BL245" i="3"/>
  <c r="AZ245" i="3"/>
  <c r="BC246" i="3"/>
  <c r="BD246" i="3"/>
  <c r="BF246" i="3"/>
  <c r="BG246" i="3"/>
  <c r="BH246" i="3"/>
  <c r="BI246" i="3"/>
  <c r="BJ246" i="3"/>
  <c r="BK246" i="3"/>
  <c r="BA246" i="3"/>
  <c r="BM246" i="3"/>
  <c r="BN246" i="3"/>
  <c r="BO246" i="3"/>
  <c r="BP246" i="3"/>
  <c r="BQ246" i="3"/>
  <c r="BR246" i="3"/>
  <c r="BS246" i="3"/>
  <c r="BT246" i="3"/>
  <c r="BL246" i="3"/>
  <c r="AZ246" i="3"/>
  <c r="BC247" i="3"/>
  <c r="BD247" i="3"/>
  <c r="BF247" i="3"/>
  <c r="BG247" i="3"/>
  <c r="BH247" i="3"/>
  <c r="BI247" i="3"/>
  <c r="BJ247" i="3"/>
  <c r="BK247" i="3"/>
  <c r="BA247" i="3"/>
  <c r="BM247" i="3"/>
  <c r="BN247" i="3"/>
  <c r="BO247" i="3"/>
  <c r="BP247" i="3"/>
  <c r="BQ247" i="3"/>
  <c r="BR247" i="3"/>
  <c r="BS247" i="3"/>
  <c r="BT247" i="3"/>
  <c r="BL247" i="3"/>
  <c r="AZ247" i="3"/>
  <c r="BC248" i="3"/>
  <c r="BD248" i="3"/>
  <c r="BF248" i="3"/>
  <c r="BG248" i="3"/>
  <c r="BH248" i="3"/>
  <c r="BI248" i="3"/>
  <c r="BJ248" i="3"/>
  <c r="BK248" i="3"/>
  <c r="BA248" i="3"/>
  <c r="BM248" i="3"/>
  <c r="BN248" i="3"/>
  <c r="BO248" i="3"/>
  <c r="BP248" i="3"/>
  <c r="BQ248" i="3"/>
  <c r="BR248" i="3"/>
  <c r="BS248" i="3"/>
  <c r="BT248" i="3"/>
  <c r="BL248" i="3"/>
  <c r="AZ248" i="3"/>
  <c r="BC249" i="3"/>
  <c r="BD249" i="3"/>
  <c r="BF249" i="3"/>
  <c r="BG249" i="3"/>
  <c r="BH249" i="3"/>
  <c r="BI249" i="3"/>
  <c r="BJ249" i="3"/>
  <c r="BK249" i="3"/>
  <c r="BA249" i="3"/>
  <c r="BM249" i="3"/>
  <c r="BN249" i="3"/>
  <c r="BO249" i="3"/>
  <c r="BP249" i="3"/>
  <c r="BQ249" i="3"/>
  <c r="BR249" i="3"/>
  <c r="BS249" i="3"/>
  <c r="BT249" i="3"/>
  <c r="BL249" i="3"/>
  <c r="AZ249" i="3"/>
  <c r="BC250" i="3"/>
  <c r="BD250" i="3"/>
  <c r="BF250" i="3"/>
  <c r="BG250" i="3"/>
  <c r="BH250" i="3"/>
  <c r="BI250" i="3"/>
  <c r="BJ250" i="3"/>
  <c r="BK250" i="3"/>
  <c r="BA250" i="3"/>
  <c r="BM250" i="3"/>
  <c r="BN250" i="3"/>
  <c r="BO250" i="3"/>
  <c r="BP250" i="3"/>
  <c r="BQ250" i="3"/>
  <c r="BR250" i="3"/>
  <c r="BS250" i="3"/>
  <c r="BT250" i="3"/>
  <c r="BL250" i="3"/>
  <c r="AZ250" i="3"/>
  <c r="BC251" i="3"/>
  <c r="BD251" i="3"/>
  <c r="BF251" i="3"/>
  <c r="BG251" i="3"/>
  <c r="BH251" i="3"/>
  <c r="BI251" i="3"/>
  <c r="BJ251" i="3"/>
  <c r="BK251" i="3"/>
  <c r="BA251" i="3"/>
  <c r="BM251" i="3"/>
  <c r="BN251" i="3"/>
  <c r="BO251" i="3"/>
  <c r="BP251" i="3"/>
  <c r="BQ251" i="3"/>
  <c r="BR251" i="3"/>
  <c r="BS251" i="3"/>
  <c r="BT251" i="3"/>
  <c r="BL251" i="3"/>
  <c r="AZ251" i="3"/>
  <c r="BC252" i="3"/>
  <c r="BD252" i="3"/>
  <c r="BF252" i="3"/>
  <c r="BG252" i="3"/>
  <c r="BH252" i="3"/>
  <c r="BI252" i="3"/>
  <c r="BJ252" i="3"/>
  <c r="BK252" i="3"/>
  <c r="BA252" i="3"/>
  <c r="BM252" i="3"/>
  <c r="BN252" i="3"/>
  <c r="BO252" i="3"/>
  <c r="BP252" i="3"/>
  <c r="BQ252" i="3"/>
  <c r="BR252" i="3"/>
  <c r="BS252" i="3"/>
  <c r="BT252" i="3"/>
  <c r="BL252" i="3"/>
  <c r="AZ252" i="3"/>
  <c r="BC253" i="3"/>
  <c r="BD253" i="3"/>
  <c r="BF253" i="3"/>
  <c r="BG253" i="3"/>
  <c r="BH253" i="3"/>
  <c r="BI253" i="3"/>
  <c r="BJ253" i="3"/>
  <c r="BK253" i="3"/>
  <c r="BA253" i="3"/>
  <c r="BM253" i="3"/>
  <c r="BN253" i="3"/>
  <c r="BO253" i="3"/>
  <c r="BP253" i="3"/>
  <c r="BQ253" i="3"/>
  <c r="BR253" i="3"/>
  <c r="BS253" i="3"/>
  <c r="BT253" i="3"/>
  <c r="BL253" i="3"/>
  <c r="AZ253" i="3"/>
  <c r="BC254" i="3"/>
  <c r="BD254" i="3"/>
  <c r="BF254" i="3"/>
  <c r="BG254" i="3"/>
  <c r="BH254" i="3"/>
  <c r="BI254" i="3"/>
  <c r="BJ254" i="3"/>
  <c r="BK254" i="3"/>
  <c r="BA254" i="3"/>
  <c r="BM254" i="3"/>
  <c r="BN254" i="3"/>
  <c r="BO254" i="3"/>
  <c r="BP254" i="3"/>
  <c r="BQ254" i="3"/>
  <c r="BR254" i="3"/>
  <c r="BS254" i="3"/>
  <c r="BT254" i="3"/>
  <c r="BL254" i="3"/>
  <c r="AZ254" i="3"/>
  <c r="BC255" i="3"/>
  <c r="BD255" i="3"/>
  <c r="BF255" i="3"/>
  <c r="BG255" i="3"/>
  <c r="BH255" i="3"/>
  <c r="BI255" i="3"/>
  <c r="BJ255" i="3"/>
  <c r="BK255" i="3"/>
  <c r="BA255" i="3"/>
  <c r="BM255" i="3"/>
  <c r="BN255" i="3"/>
  <c r="BO255" i="3"/>
  <c r="BP255" i="3"/>
  <c r="BQ255" i="3"/>
  <c r="BR255" i="3"/>
  <c r="BS255" i="3"/>
  <c r="BT255" i="3"/>
  <c r="BL255" i="3"/>
  <c r="AZ255" i="3"/>
  <c r="BC256" i="3"/>
  <c r="BD256" i="3"/>
  <c r="BF256" i="3"/>
  <c r="BG256" i="3"/>
  <c r="BH256" i="3"/>
  <c r="BI256" i="3"/>
  <c r="BJ256" i="3"/>
  <c r="BK256" i="3"/>
  <c r="BA256" i="3"/>
  <c r="BM256" i="3"/>
  <c r="BN256" i="3"/>
  <c r="BO256" i="3"/>
  <c r="BP256" i="3"/>
  <c r="BQ256" i="3"/>
  <c r="BR256" i="3"/>
  <c r="BS256" i="3"/>
  <c r="BT256" i="3"/>
  <c r="BL256" i="3"/>
  <c r="AZ256" i="3"/>
  <c r="BC257" i="3"/>
  <c r="BD257" i="3"/>
  <c r="BF257" i="3"/>
  <c r="BG257" i="3"/>
  <c r="BH257" i="3"/>
  <c r="BI257" i="3"/>
  <c r="BJ257" i="3"/>
  <c r="BK257" i="3"/>
  <c r="BA257" i="3"/>
  <c r="BM257" i="3"/>
  <c r="BN257" i="3"/>
  <c r="BO257" i="3"/>
  <c r="BP257" i="3"/>
  <c r="BQ257" i="3"/>
  <c r="BR257" i="3"/>
  <c r="BS257" i="3"/>
  <c r="BT257" i="3"/>
  <c r="BL257" i="3"/>
  <c r="AZ257" i="3"/>
  <c r="BC258" i="3"/>
  <c r="BD258" i="3"/>
  <c r="BF258" i="3"/>
  <c r="BG258" i="3"/>
  <c r="BH258" i="3"/>
  <c r="BI258" i="3"/>
  <c r="BJ258" i="3"/>
  <c r="BK258" i="3"/>
  <c r="BA258" i="3"/>
  <c r="BM258" i="3"/>
  <c r="BN258" i="3"/>
  <c r="BO258" i="3"/>
  <c r="BP258" i="3"/>
  <c r="BQ258" i="3"/>
  <c r="BR258" i="3"/>
  <c r="BS258" i="3"/>
  <c r="BT258" i="3"/>
  <c r="BL258" i="3"/>
  <c r="AZ258" i="3"/>
  <c r="BC259" i="3"/>
  <c r="BD259" i="3"/>
  <c r="BF259" i="3"/>
  <c r="BG259" i="3"/>
  <c r="BH259" i="3"/>
  <c r="BI259" i="3"/>
  <c r="BJ259" i="3"/>
  <c r="BK259" i="3"/>
  <c r="BA259" i="3"/>
  <c r="BM259" i="3"/>
  <c r="BN259" i="3"/>
  <c r="BO259" i="3"/>
  <c r="BP259" i="3"/>
  <c r="BQ259" i="3"/>
  <c r="BR259" i="3"/>
  <c r="BS259" i="3"/>
  <c r="BT259" i="3"/>
  <c r="BL259" i="3"/>
  <c r="AZ259" i="3"/>
  <c r="BC260" i="3"/>
  <c r="BD260" i="3"/>
  <c r="BF260" i="3"/>
  <c r="BG260" i="3"/>
  <c r="BH260" i="3"/>
  <c r="BI260" i="3"/>
  <c r="BJ260" i="3"/>
  <c r="BK260" i="3"/>
  <c r="BA260" i="3"/>
  <c r="BM260" i="3"/>
  <c r="BN260" i="3"/>
  <c r="BO260" i="3"/>
  <c r="BP260" i="3"/>
  <c r="BQ260" i="3"/>
  <c r="BR260" i="3"/>
  <c r="BS260" i="3"/>
  <c r="BT260" i="3"/>
  <c r="BL260" i="3"/>
  <c r="AZ260" i="3"/>
  <c r="BC261" i="3"/>
  <c r="BD261" i="3"/>
  <c r="BF261" i="3"/>
  <c r="BG261" i="3"/>
  <c r="BH261" i="3"/>
  <c r="BI261" i="3"/>
  <c r="BJ261" i="3"/>
  <c r="BK261" i="3"/>
  <c r="BA261" i="3"/>
  <c r="BM261" i="3"/>
  <c r="BN261" i="3"/>
  <c r="BO261" i="3"/>
  <c r="BP261" i="3"/>
  <c r="BQ261" i="3"/>
  <c r="BR261" i="3"/>
  <c r="BS261" i="3"/>
  <c r="BT261" i="3"/>
  <c r="BL261" i="3"/>
  <c r="AZ261" i="3"/>
  <c r="BC262" i="3"/>
  <c r="BD262" i="3"/>
  <c r="BF262" i="3"/>
  <c r="BG262" i="3"/>
  <c r="BH262" i="3"/>
  <c r="BI262" i="3"/>
  <c r="BJ262" i="3"/>
  <c r="BK262" i="3"/>
  <c r="BA262" i="3"/>
  <c r="BM262" i="3"/>
  <c r="BN262" i="3"/>
  <c r="BO262" i="3"/>
  <c r="BP262" i="3"/>
  <c r="BQ262" i="3"/>
  <c r="BR262" i="3"/>
  <c r="BS262" i="3"/>
  <c r="BT262" i="3"/>
  <c r="BL262" i="3"/>
  <c r="AZ262" i="3"/>
  <c r="BC263" i="3"/>
  <c r="BD263" i="3"/>
  <c r="BF263" i="3"/>
  <c r="BG263" i="3"/>
  <c r="BH263" i="3"/>
  <c r="BI263" i="3"/>
  <c r="BJ263" i="3"/>
  <c r="BK263" i="3"/>
  <c r="BA263" i="3"/>
  <c r="BM263" i="3"/>
  <c r="BN263" i="3"/>
  <c r="BO263" i="3"/>
  <c r="BP263" i="3"/>
  <c r="BQ263" i="3"/>
  <c r="BR263" i="3"/>
  <c r="BS263" i="3"/>
  <c r="BT263" i="3"/>
  <c r="BL263" i="3"/>
  <c r="AZ263" i="3"/>
  <c r="BC264" i="3"/>
  <c r="BD264" i="3"/>
  <c r="BF264" i="3"/>
  <c r="BG264" i="3"/>
  <c r="BH264" i="3"/>
  <c r="BI264" i="3"/>
  <c r="BJ264" i="3"/>
  <c r="BK264" i="3"/>
  <c r="BA264" i="3"/>
  <c r="BM264" i="3"/>
  <c r="BN264" i="3"/>
  <c r="BO264" i="3"/>
  <c r="BP264" i="3"/>
  <c r="BQ264" i="3"/>
  <c r="BR264" i="3"/>
  <c r="BS264" i="3"/>
  <c r="BT264" i="3"/>
  <c r="BL264" i="3"/>
  <c r="AZ264" i="3"/>
  <c r="BC265" i="3"/>
  <c r="BD265" i="3"/>
  <c r="BF265" i="3"/>
  <c r="BG265" i="3"/>
  <c r="BH265" i="3"/>
  <c r="BI265" i="3"/>
  <c r="BJ265" i="3"/>
  <c r="BK265" i="3"/>
  <c r="BA265" i="3"/>
  <c r="BM265" i="3"/>
  <c r="BN265" i="3"/>
  <c r="BO265" i="3"/>
  <c r="BP265" i="3"/>
  <c r="BQ265" i="3"/>
  <c r="BR265" i="3"/>
  <c r="BS265" i="3"/>
  <c r="BT265" i="3"/>
  <c r="BL265" i="3"/>
  <c r="AZ265" i="3"/>
  <c r="BC266" i="3"/>
  <c r="BD266" i="3"/>
  <c r="BF266" i="3"/>
  <c r="BG266" i="3"/>
  <c r="BH266" i="3"/>
  <c r="BI266" i="3"/>
  <c r="BJ266" i="3"/>
  <c r="BK266" i="3"/>
  <c r="BA266" i="3"/>
  <c r="BM266" i="3"/>
  <c r="BN266" i="3"/>
  <c r="BO266" i="3"/>
  <c r="BP266" i="3"/>
  <c r="BQ266" i="3"/>
  <c r="BR266" i="3"/>
  <c r="BS266" i="3"/>
  <c r="BT266" i="3"/>
  <c r="BL266" i="3"/>
  <c r="AZ266" i="3"/>
  <c r="BC267" i="3"/>
  <c r="BD267" i="3"/>
  <c r="BF267" i="3"/>
  <c r="BG267" i="3"/>
  <c r="BH267" i="3"/>
  <c r="BI267" i="3"/>
  <c r="BJ267" i="3"/>
  <c r="BK267" i="3"/>
  <c r="BA267" i="3"/>
  <c r="BM267" i="3"/>
  <c r="BN267" i="3"/>
  <c r="BO267" i="3"/>
  <c r="BP267" i="3"/>
  <c r="BQ267" i="3"/>
  <c r="BR267" i="3"/>
  <c r="BS267" i="3"/>
  <c r="BT267" i="3"/>
  <c r="BL267" i="3"/>
  <c r="AZ267" i="3"/>
  <c r="BC268" i="3"/>
  <c r="BD268" i="3"/>
  <c r="BF268" i="3"/>
  <c r="BG268" i="3"/>
  <c r="BH268" i="3"/>
  <c r="BI268" i="3"/>
  <c r="BJ268" i="3"/>
  <c r="BK268" i="3"/>
  <c r="BA268" i="3"/>
  <c r="BM268" i="3"/>
  <c r="BN268" i="3"/>
  <c r="BO268" i="3"/>
  <c r="BP268" i="3"/>
  <c r="BQ268" i="3"/>
  <c r="BR268" i="3"/>
  <c r="BS268" i="3"/>
  <c r="BT268" i="3"/>
  <c r="BL268" i="3"/>
  <c r="AZ268" i="3"/>
  <c r="BC269" i="3"/>
  <c r="BD269" i="3"/>
  <c r="BF269" i="3"/>
  <c r="BG269" i="3"/>
  <c r="BH269" i="3"/>
  <c r="BI269" i="3"/>
  <c r="BJ269" i="3"/>
  <c r="BK269" i="3"/>
  <c r="BA269" i="3"/>
  <c r="BM269" i="3"/>
  <c r="BN269" i="3"/>
  <c r="BO269" i="3"/>
  <c r="BP269" i="3"/>
  <c r="BQ269" i="3"/>
  <c r="BR269" i="3"/>
  <c r="BS269" i="3"/>
  <c r="BT269" i="3"/>
  <c r="BL269" i="3"/>
  <c r="AZ269" i="3"/>
  <c r="BC270" i="3"/>
  <c r="BD270" i="3"/>
  <c r="BF270" i="3"/>
  <c r="BG270" i="3"/>
  <c r="BH270" i="3"/>
  <c r="BI270" i="3"/>
  <c r="BJ270" i="3"/>
  <c r="BK270" i="3"/>
  <c r="BA270" i="3"/>
  <c r="BM270" i="3"/>
  <c r="BN270" i="3"/>
  <c r="BO270" i="3"/>
  <c r="BP270" i="3"/>
  <c r="BQ270" i="3"/>
  <c r="BR270" i="3"/>
  <c r="BS270" i="3"/>
  <c r="BT270" i="3"/>
  <c r="BL270" i="3"/>
  <c r="AZ270" i="3"/>
  <c r="BC271" i="3"/>
  <c r="BD271" i="3"/>
  <c r="BF271" i="3"/>
  <c r="BG271" i="3"/>
  <c r="BH271" i="3"/>
  <c r="BI271" i="3"/>
  <c r="BJ271" i="3"/>
  <c r="BK271" i="3"/>
  <c r="BA271" i="3"/>
  <c r="BM271" i="3"/>
  <c r="BN271" i="3"/>
  <c r="BO271" i="3"/>
  <c r="BP271" i="3"/>
  <c r="BQ271" i="3"/>
  <c r="BR271" i="3"/>
  <c r="BS271" i="3"/>
  <c r="BT271" i="3"/>
  <c r="BL271" i="3"/>
  <c r="AZ271" i="3"/>
  <c r="BC272" i="3"/>
  <c r="BD272" i="3"/>
  <c r="BF272" i="3"/>
  <c r="BG272" i="3"/>
  <c r="BH272" i="3"/>
  <c r="BI272" i="3"/>
  <c r="BJ272" i="3"/>
  <c r="BK272" i="3"/>
  <c r="BA272" i="3"/>
  <c r="BM272" i="3"/>
  <c r="BN272" i="3"/>
  <c r="BO272" i="3"/>
  <c r="BP272" i="3"/>
  <c r="BQ272" i="3"/>
  <c r="BR272" i="3"/>
  <c r="BS272" i="3"/>
  <c r="BT272" i="3"/>
  <c r="BL272" i="3"/>
  <c r="AZ272" i="3"/>
  <c r="BC273" i="3"/>
  <c r="BD273" i="3"/>
  <c r="BF273" i="3"/>
  <c r="BG273" i="3"/>
  <c r="BH273" i="3"/>
  <c r="BI273" i="3"/>
  <c r="BJ273" i="3"/>
  <c r="BK273" i="3"/>
  <c r="BA273" i="3"/>
  <c r="BM273" i="3"/>
  <c r="BN273" i="3"/>
  <c r="BO273" i="3"/>
  <c r="BP273" i="3"/>
  <c r="BQ273" i="3"/>
  <c r="BR273" i="3"/>
  <c r="BS273" i="3"/>
  <c r="BT273" i="3"/>
  <c r="BL273" i="3"/>
  <c r="AZ273" i="3"/>
  <c r="BC274" i="3"/>
  <c r="BD274" i="3"/>
  <c r="BF274" i="3"/>
  <c r="BG274" i="3"/>
  <c r="BH274" i="3"/>
  <c r="BI274" i="3"/>
  <c r="BJ274" i="3"/>
  <c r="BK274" i="3"/>
  <c r="BA274" i="3"/>
  <c r="BM274" i="3"/>
  <c r="BN274" i="3"/>
  <c r="BO274" i="3"/>
  <c r="BP274" i="3"/>
  <c r="BQ274" i="3"/>
  <c r="BR274" i="3"/>
  <c r="BS274" i="3"/>
  <c r="BT274" i="3"/>
  <c r="BL274" i="3"/>
  <c r="AZ274" i="3"/>
  <c r="BC275" i="3"/>
  <c r="BD275" i="3"/>
  <c r="BF275" i="3"/>
  <c r="BG275" i="3"/>
  <c r="BH275" i="3"/>
  <c r="BI275" i="3"/>
  <c r="BJ275" i="3"/>
  <c r="BK275" i="3"/>
  <c r="BA275" i="3"/>
  <c r="BM275" i="3"/>
  <c r="BN275" i="3"/>
  <c r="BO275" i="3"/>
  <c r="BP275" i="3"/>
  <c r="BQ275" i="3"/>
  <c r="BR275" i="3"/>
  <c r="BS275" i="3"/>
  <c r="BT275" i="3"/>
  <c r="BL275" i="3"/>
  <c r="AZ275" i="3"/>
  <c r="BC276" i="3"/>
  <c r="BD276" i="3"/>
  <c r="BF276" i="3"/>
  <c r="BG276" i="3"/>
  <c r="BH276" i="3"/>
  <c r="BI276" i="3"/>
  <c r="BJ276" i="3"/>
  <c r="BK276" i="3"/>
  <c r="BA276" i="3"/>
  <c r="BM276" i="3"/>
  <c r="BN276" i="3"/>
  <c r="BO276" i="3"/>
  <c r="BP276" i="3"/>
  <c r="BQ276" i="3"/>
  <c r="BR276" i="3"/>
  <c r="BS276" i="3"/>
  <c r="BT276" i="3"/>
  <c r="BL276" i="3"/>
  <c r="AZ276" i="3"/>
  <c r="BC277" i="3"/>
  <c r="BD277" i="3"/>
  <c r="BF277" i="3"/>
  <c r="BG277" i="3"/>
  <c r="BH277" i="3"/>
  <c r="BI277" i="3"/>
  <c r="BJ277" i="3"/>
  <c r="BK277" i="3"/>
  <c r="BA277" i="3"/>
  <c r="BM277" i="3"/>
  <c r="BN277" i="3"/>
  <c r="BO277" i="3"/>
  <c r="BP277" i="3"/>
  <c r="BQ277" i="3"/>
  <c r="BR277" i="3"/>
  <c r="BS277" i="3"/>
  <c r="BT277" i="3"/>
  <c r="BL277" i="3"/>
  <c r="AZ277" i="3"/>
  <c r="BC278" i="3"/>
  <c r="BD278" i="3"/>
  <c r="BF278" i="3"/>
  <c r="BG278" i="3"/>
  <c r="BH278" i="3"/>
  <c r="BI278" i="3"/>
  <c r="BJ278" i="3"/>
  <c r="BK278" i="3"/>
  <c r="BA278" i="3"/>
  <c r="BM278" i="3"/>
  <c r="BN278" i="3"/>
  <c r="BO278" i="3"/>
  <c r="BP278" i="3"/>
  <c r="BQ278" i="3"/>
  <c r="BR278" i="3"/>
  <c r="BS278" i="3"/>
  <c r="BT278" i="3"/>
  <c r="BL278" i="3"/>
  <c r="AZ278" i="3"/>
  <c r="BC279" i="3"/>
  <c r="BD279" i="3"/>
  <c r="BF279" i="3"/>
  <c r="BG279" i="3"/>
  <c r="BH279" i="3"/>
  <c r="BI279" i="3"/>
  <c r="BJ279" i="3"/>
  <c r="BK279" i="3"/>
  <c r="BA279" i="3"/>
  <c r="BM279" i="3"/>
  <c r="BN279" i="3"/>
  <c r="BO279" i="3"/>
  <c r="BP279" i="3"/>
  <c r="BQ279" i="3"/>
  <c r="BR279" i="3"/>
  <c r="BS279" i="3"/>
  <c r="BT279" i="3"/>
  <c r="BL279" i="3"/>
  <c r="AZ279" i="3"/>
  <c r="BC280" i="3"/>
  <c r="BD280" i="3"/>
  <c r="BF280" i="3"/>
  <c r="BG280" i="3"/>
  <c r="BH280" i="3"/>
  <c r="BI280" i="3"/>
  <c r="BJ280" i="3"/>
  <c r="BK280" i="3"/>
  <c r="BA280" i="3"/>
  <c r="BM280" i="3"/>
  <c r="BN280" i="3"/>
  <c r="BO280" i="3"/>
  <c r="BP280" i="3"/>
  <c r="BQ280" i="3"/>
  <c r="BR280" i="3"/>
  <c r="BS280" i="3"/>
  <c r="BT280" i="3"/>
  <c r="BL280" i="3"/>
  <c r="AZ280" i="3"/>
  <c r="BC281" i="3"/>
  <c r="BD281" i="3"/>
  <c r="BF281" i="3"/>
  <c r="BG281" i="3"/>
  <c r="BH281" i="3"/>
  <c r="BI281" i="3"/>
  <c r="BJ281" i="3"/>
  <c r="BK281" i="3"/>
  <c r="BA281" i="3"/>
  <c r="BM281" i="3"/>
  <c r="BN281" i="3"/>
  <c r="BO281" i="3"/>
  <c r="BP281" i="3"/>
  <c r="BQ281" i="3"/>
  <c r="BR281" i="3"/>
  <c r="BS281" i="3"/>
  <c r="BT281" i="3"/>
  <c r="BL281" i="3"/>
  <c r="AZ281" i="3"/>
  <c r="BC282" i="3"/>
  <c r="BD282" i="3"/>
  <c r="BF282" i="3"/>
  <c r="BG282" i="3"/>
  <c r="BH282" i="3"/>
  <c r="BI282" i="3"/>
  <c r="BJ282" i="3"/>
  <c r="BK282" i="3"/>
  <c r="BA282" i="3"/>
  <c r="BM282" i="3"/>
  <c r="BN282" i="3"/>
  <c r="BO282" i="3"/>
  <c r="BP282" i="3"/>
  <c r="BQ282" i="3"/>
  <c r="BR282" i="3"/>
  <c r="BS282" i="3"/>
  <c r="BT282" i="3"/>
  <c r="BL282" i="3"/>
  <c r="AZ282" i="3"/>
  <c r="BC283" i="3"/>
  <c r="BD283" i="3"/>
  <c r="BF283" i="3"/>
  <c r="BG283" i="3"/>
  <c r="BH283" i="3"/>
  <c r="BI283" i="3"/>
  <c r="BJ283" i="3"/>
  <c r="BK283" i="3"/>
  <c r="BA283" i="3"/>
  <c r="BM283" i="3"/>
  <c r="BN283" i="3"/>
  <c r="BO283" i="3"/>
  <c r="BP283" i="3"/>
  <c r="BQ283" i="3"/>
  <c r="BR283" i="3"/>
  <c r="BS283" i="3"/>
  <c r="BT283" i="3"/>
  <c r="BL283" i="3"/>
  <c r="AZ283" i="3"/>
  <c r="BC284" i="3"/>
  <c r="BD284" i="3"/>
  <c r="BF284" i="3"/>
  <c r="BG284" i="3"/>
  <c r="BH284" i="3"/>
  <c r="BI284" i="3"/>
  <c r="BJ284" i="3"/>
  <c r="BK284" i="3"/>
  <c r="BA284" i="3"/>
  <c r="BM284" i="3"/>
  <c r="BN284" i="3"/>
  <c r="BO284" i="3"/>
  <c r="BP284" i="3"/>
  <c r="BQ284" i="3"/>
  <c r="BR284" i="3"/>
  <c r="BS284" i="3"/>
  <c r="BT284" i="3"/>
  <c r="BL284" i="3"/>
  <c r="AZ284" i="3"/>
  <c r="BC285" i="3"/>
  <c r="BD285" i="3"/>
  <c r="BF285" i="3"/>
  <c r="BG285" i="3"/>
  <c r="BH285" i="3"/>
  <c r="BI285" i="3"/>
  <c r="BJ285" i="3"/>
  <c r="BK285" i="3"/>
  <c r="BA285" i="3"/>
  <c r="BM285" i="3"/>
  <c r="BN285" i="3"/>
  <c r="BO285" i="3"/>
  <c r="BP285" i="3"/>
  <c r="BQ285" i="3"/>
  <c r="BR285" i="3"/>
  <c r="BS285" i="3"/>
  <c r="BT285" i="3"/>
  <c r="BL285" i="3"/>
  <c r="AZ285" i="3"/>
  <c r="BC286" i="3"/>
  <c r="BD286" i="3"/>
  <c r="BF286" i="3"/>
  <c r="BG286" i="3"/>
  <c r="BH286" i="3"/>
  <c r="BI286" i="3"/>
  <c r="BJ286" i="3"/>
  <c r="BK286" i="3"/>
  <c r="BA286" i="3"/>
  <c r="BM286" i="3"/>
  <c r="BN286" i="3"/>
  <c r="BO286" i="3"/>
  <c r="BP286" i="3"/>
  <c r="BQ286" i="3"/>
  <c r="BR286" i="3"/>
  <c r="BS286" i="3"/>
  <c r="BT286" i="3"/>
  <c r="BL286" i="3"/>
  <c r="AZ286" i="3"/>
  <c r="BC287" i="3"/>
  <c r="BD287" i="3"/>
  <c r="BF287" i="3"/>
  <c r="BG287" i="3"/>
  <c r="BH287" i="3"/>
  <c r="BI287" i="3"/>
  <c r="BJ287" i="3"/>
  <c r="BK287" i="3"/>
  <c r="BA287" i="3"/>
  <c r="BM287" i="3"/>
  <c r="BN287" i="3"/>
  <c r="BO287" i="3"/>
  <c r="BP287" i="3"/>
  <c r="BQ287" i="3"/>
  <c r="BR287" i="3"/>
  <c r="BS287" i="3"/>
  <c r="BT287" i="3"/>
  <c r="BL287" i="3"/>
  <c r="AZ287" i="3"/>
  <c r="BC288" i="3"/>
  <c r="BD288" i="3"/>
  <c r="BF288" i="3"/>
  <c r="BG288" i="3"/>
  <c r="BH288" i="3"/>
  <c r="BI288" i="3"/>
  <c r="BJ288" i="3"/>
  <c r="BK288" i="3"/>
  <c r="BA288" i="3"/>
  <c r="BM288" i="3"/>
  <c r="BN288" i="3"/>
  <c r="BO288" i="3"/>
  <c r="BP288" i="3"/>
  <c r="BQ288" i="3"/>
  <c r="BR288" i="3"/>
  <c r="BS288" i="3"/>
  <c r="BT288" i="3"/>
  <c r="BL288" i="3"/>
  <c r="AZ288" i="3"/>
  <c r="BC289" i="3"/>
  <c r="BD289" i="3"/>
  <c r="BF289" i="3"/>
  <c r="BG289" i="3"/>
  <c r="BH289" i="3"/>
  <c r="BI289" i="3"/>
  <c r="BJ289" i="3"/>
  <c r="BK289" i="3"/>
  <c r="BA289" i="3"/>
  <c r="BM289" i="3"/>
  <c r="BN289" i="3"/>
  <c r="BO289" i="3"/>
  <c r="BP289" i="3"/>
  <c r="BQ289" i="3"/>
  <c r="BR289" i="3"/>
  <c r="BS289" i="3"/>
  <c r="BT289" i="3"/>
  <c r="BL289" i="3"/>
  <c r="AZ289" i="3"/>
  <c r="BC290" i="3"/>
  <c r="BD290" i="3"/>
  <c r="BF290" i="3"/>
  <c r="BG290" i="3"/>
  <c r="BH290" i="3"/>
  <c r="BI290" i="3"/>
  <c r="BJ290" i="3"/>
  <c r="BK290" i="3"/>
  <c r="BA290" i="3"/>
  <c r="BM290" i="3"/>
  <c r="BN290" i="3"/>
  <c r="BO290" i="3"/>
  <c r="BP290" i="3"/>
  <c r="BQ290" i="3"/>
  <c r="BR290" i="3"/>
  <c r="BS290" i="3"/>
  <c r="BT290" i="3"/>
  <c r="BL290" i="3"/>
  <c r="AZ290" i="3"/>
  <c r="BC291" i="3"/>
  <c r="BD291" i="3"/>
  <c r="BF291" i="3"/>
  <c r="BG291" i="3"/>
  <c r="BH291" i="3"/>
  <c r="BI291" i="3"/>
  <c r="BJ291" i="3"/>
  <c r="BK291" i="3"/>
  <c r="BA291" i="3"/>
  <c r="BM291" i="3"/>
  <c r="BN291" i="3"/>
  <c r="BO291" i="3"/>
  <c r="BP291" i="3"/>
  <c r="BQ291" i="3"/>
  <c r="BR291" i="3"/>
  <c r="BS291" i="3"/>
  <c r="BT291" i="3"/>
  <c r="BL291" i="3"/>
  <c r="AZ291" i="3"/>
  <c r="BC292" i="3"/>
  <c r="BD292" i="3"/>
  <c r="BF292" i="3"/>
  <c r="BG292" i="3"/>
  <c r="BH292" i="3"/>
  <c r="BI292" i="3"/>
  <c r="BJ292" i="3"/>
  <c r="BK292" i="3"/>
  <c r="BA292" i="3"/>
  <c r="BM292" i="3"/>
  <c r="BN292" i="3"/>
  <c r="BO292" i="3"/>
  <c r="BP292" i="3"/>
  <c r="BQ292" i="3"/>
  <c r="BR292" i="3"/>
  <c r="BS292" i="3"/>
  <c r="BT292" i="3"/>
  <c r="BL292" i="3"/>
  <c r="AZ292" i="3"/>
  <c r="BC293" i="3"/>
  <c r="BD293" i="3"/>
  <c r="BF293" i="3"/>
  <c r="BG293" i="3"/>
  <c r="BH293" i="3"/>
  <c r="BI293" i="3"/>
  <c r="BJ293" i="3"/>
  <c r="BK293" i="3"/>
  <c r="BA293" i="3"/>
  <c r="BM293" i="3"/>
  <c r="BN293" i="3"/>
  <c r="BO293" i="3"/>
  <c r="BP293" i="3"/>
  <c r="BQ293" i="3"/>
  <c r="BR293" i="3"/>
  <c r="BS293" i="3"/>
  <c r="BT293" i="3"/>
  <c r="BL293" i="3"/>
  <c r="AZ293" i="3"/>
  <c r="BC294" i="3"/>
  <c r="BD294" i="3"/>
  <c r="BF294" i="3"/>
  <c r="BG294" i="3"/>
  <c r="BH294" i="3"/>
  <c r="BI294" i="3"/>
  <c r="BJ294" i="3"/>
  <c r="BK294" i="3"/>
  <c r="BA294" i="3"/>
  <c r="BM294" i="3"/>
  <c r="BN294" i="3"/>
  <c r="BO294" i="3"/>
  <c r="BP294" i="3"/>
  <c r="BQ294" i="3"/>
  <c r="BR294" i="3"/>
  <c r="BS294" i="3"/>
  <c r="BT294" i="3"/>
  <c r="BL294" i="3"/>
  <c r="AZ294" i="3"/>
  <c r="BC295" i="3"/>
  <c r="BD295" i="3"/>
  <c r="BF295" i="3"/>
  <c r="BG295" i="3"/>
  <c r="BH295" i="3"/>
  <c r="BI295" i="3"/>
  <c r="BJ295" i="3"/>
  <c r="BK295" i="3"/>
  <c r="BA295" i="3"/>
  <c r="BM295" i="3"/>
  <c r="BN295" i="3"/>
  <c r="BO295" i="3"/>
  <c r="BP295" i="3"/>
  <c r="BQ295" i="3"/>
  <c r="BR295" i="3"/>
  <c r="BS295" i="3"/>
  <c r="BT295" i="3"/>
  <c r="BL295" i="3"/>
  <c r="AZ295" i="3"/>
  <c r="BC296" i="3"/>
  <c r="BD296" i="3"/>
  <c r="BF296" i="3"/>
  <c r="BG296" i="3"/>
  <c r="BH296" i="3"/>
  <c r="BI296" i="3"/>
  <c r="BJ296" i="3"/>
  <c r="BK296" i="3"/>
  <c r="BA296" i="3"/>
  <c r="BM296" i="3"/>
  <c r="BN296" i="3"/>
  <c r="BO296" i="3"/>
  <c r="BP296" i="3"/>
  <c r="BQ296" i="3"/>
  <c r="BR296" i="3"/>
  <c r="BS296" i="3"/>
  <c r="BT296" i="3"/>
  <c r="BL296" i="3"/>
  <c r="AZ296" i="3"/>
  <c r="BC297" i="3"/>
  <c r="BD297" i="3"/>
  <c r="BF297" i="3"/>
  <c r="BG297" i="3"/>
  <c r="BH297" i="3"/>
  <c r="BI297" i="3"/>
  <c r="BJ297" i="3"/>
  <c r="BK297" i="3"/>
  <c r="BA297" i="3"/>
  <c r="BM297" i="3"/>
  <c r="BN297" i="3"/>
  <c r="BO297" i="3"/>
  <c r="BP297" i="3"/>
  <c r="BQ297" i="3"/>
  <c r="BR297" i="3"/>
  <c r="BS297" i="3"/>
  <c r="BT297" i="3"/>
  <c r="BL297" i="3"/>
  <c r="AZ297" i="3"/>
  <c r="BC298" i="3"/>
  <c r="BD298" i="3"/>
  <c r="BF298" i="3"/>
  <c r="BG298" i="3"/>
  <c r="BH298" i="3"/>
  <c r="BI298" i="3"/>
  <c r="BJ298" i="3"/>
  <c r="BK298" i="3"/>
  <c r="BA298" i="3"/>
  <c r="BM298" i="3"/>
  <c r="BN298" i="3"/>
  <c r="BO298" i="3"/>
  <c r="BP298" i="3"/>
  <c r="BQ298" i="3"/>
  <c r="BR298" i="3"/>
  <c r="BS298" i="3"/>
  <c r="BT298" i="3"/>
  <c r="BL298" i="3"/>
  <c r="AZ298" i="3"/>
  <c r="BC299" i="3"/>
  <c r="BD299" i="3"/>
  <c r="BF299" i="3"/>
  <c r="BG299" i="3"/>
  <c r="BH299" i="3"/>
  <c r="BI299" i="3"/>
  <c r="BJ299" i="3"/>
  <c r="BK299" i="3"/>
  <c r="BA299" i="3"/>
  <c r="BM299" i="3"/>
  <c r="BN299" i="3"/>
  <c r="BO299" i="3"/>
  <c r="BP299" i="3"/>
  <c r="BQ299" i="3"/>
  <c r="BR299" i="3"/>
  <c r="BS299" i="3"/>
  <c r="BT299" i="3"/>
  <c r="BL299" i="3"/>
  <c r="AZ299" i="3"/>
  <c r="BC300" i="3"/>
  <c r="BD300" i="3"/>
  <c r="BF300" i="3"/>
  <c r="BG300" i="3"/>
  <c r="BH300" i="3"/>
  <c r="BI300" i="3"/>
  <c r="BJ300" i="3"/>
  <c r="BK300" i="3"/>
  <c r="BA300" i="3"/>
  <c r="BM300" i="3"/>
  <c r="BN300" i="3"/>
  <c r="BO300" i="3"/>
  <c r="BP300" i="3"/>
  <c r="BQ300" i="3"/>
  <c r="BR300" i="3"/>
  <c r="BS300" i="3"/>
  <c r="BT300" i="3"/>
  <c r="BL300" i="3"/>
  <c r="AZ300" i="3"/>
  <c r="BC301" i="3"/>
  <c r="BD301" i="3"/>
  <c r="BF301" i="3"/>
  <c r="BG301" i="3"/>
  <c r="BH301" i="3"/>
  <c r="BI301" i="3"/>
  <c r="BJ301" i="3"/>
  <c r="BK301" i="3"/>
  <c r="BA301" i="3"/>
  <c r="BM301" i="3"/>
  <c r="BN301" i="3"/>
  <c r="BO301" i="3"/>
  <c r="BP301" i="3"/>
  <c r="BQ301" i="3"/>
  <c r="BR301" i="3"/>
  <c r="BS301" i="3"/>
  <c r="BT301" i="3"/>
  <c r="BL301" i="3"/>
  <c r="AZ301" i="3"/>
  <c r="BC302" i="3"/>
  <c r="BD302" i="3"/>
  <c r="BF302" i="3"/>
  <c r="BG302" i="3"/>
  <c r="BH302" i="3"/>
  <c r="BI302" i="3"/>
  <c r="BJ302" i="3"/>
  <c r="BK302" i="3"/>
  <c r="BA302" i="3"/>
  <c r="BM302" i="3"/>
  <c r="BN302" i="3"/>
  <c r="BO302" i="3"/>
  <c r="BP302" i="3"/>
  <c r="BQ302" i="3"/>
  <c r="BR302" i="3"/>
  <c r="BS302" i="3"/>
  <c r="BT302" i="3"/>
  <c r="BL302" i="3"/>
  <c r="AZ302" i="3"/>
  <c r="BC303" i="3"/>
  <c r="BD303" i="3"/>
  <c r="BF303" i="3"/>
  <c r="BG303" i="3"/>
  <c r="BH303" i="3"/>
  <c r="BI303" i="3"/>
  <c r="BJ303" i="3"/>
  <c r="BK303" i="3"/>
  <c r="BA303" i="3"/>
  <c r="BM303" i="3"/>
  <c r="BN303" i="3"/>
  <c r="BO303" i="3"/>
  <c r="BP303" i="3"/>
  <c r="BQ303" i="3"/>
  <c r="BR303" i="3"/>
  <c r="BS303" i="3"/>
  <c r="BT303" i="3"/>
  <c r="BL303" i="3"/>
  <c r="AZ303" i="3"/>
  <c r="BC304" i="3"/>
  <c r="BD304" i="3"/>
  <c r="BF304" i="3"/>
  <c r="BG304" i="3"/>
  <c r="BH304" i="3"/>
  <c r="BI304" i="3"/>
  <c r="BJ304" i="3"/>
  <c r="BK304" i="3"/>
  <c r="BA304" i="3"/>
  <c r="BM304" i="3"/>
  <c r="BN304" i="3"/>
  <c r="BO304" i="3"/>
  <c r="BP304" i="3"/>
  <c r="BQ304" i="3"/>
  <c r="BR304" i="3"/>
  <c r="BS304" i="3"/>
  <c r="BT304" i="3"/>
  <c r="BL304" i="3"/>
  <c r="AZ304" i="3"/>
  <c r="BC305" i="3"/>
  <c r="BD305" i="3"/>
  <c r="BF305" i="3"/>
  <c r="BG305" i="3"/>
  <c r="BH305" i="3"/>
  <c r="BI305" i="3"/>
  <c r="BJ305" i="3"/>
  <c r="BK305" i="3"/>
  <c r="BA305" i="3"/>
  <c r="BM305" i="3"/>
  <c r="BN305" i="3"/>
  <c r="BO305" i="3"/>
  <c r="BP305" i="3"/>
  <c r="BQ305" i="3"/>
  <c r="BR305" i="3"/>
  <c r="BS305" i="3"/>
  <c r="BT305" i="3"/>
  <c r="BL305" i="3"/>
  <c r="AZ305" i="3"/>
  <c r="BC306" i="3"/>
  <c r="BD306" i="3"/>
  <c r="BF306" i="3"/>
  <c r="BG306" i="3"/>
  <c r="BH306" i="3"/>
  <c r="BI306" i="3"/>
  <c r="BJ306" i="3"/>
  <c r="BK306" i="3"/>
  <c r="BA306" i="3"/>
  <c r="BM306" i="3"/>
  <c r="BN306" i="3"/>
  <c r="BO306" i="3"/>
  <c r="BP306" i="3"/>
  <c r="BQ306" i="3"/>
  <c r="BR306" i="3"/>
  <c r="BS306" i="3"/>
  <c r="BT306" i="3"/>
  <c r="BL306" i="3"/>
  <c r="AZ306" i="3"/>
  <c r="BC307" i="3"/>
  <c r="BD307" i="3"/>
  <c r="BF307" i="3"/>
  <c r="BG307" i="3"/>
  <c r="BH307" i="3"/>
  <c r="BI307" i="3"/>
  <c r="BJ307" i="3"/>
  <c r="BK307" i="3"/>
  <c r="BA307" i="3"/>
  <c r="BM307" i="3"/>
  <c r="BN307" i="3"/>
  <c r="BO307" i="3"/>
  <c r="BP307" i="3"/>
  <c r="BQ307" i="3"/>
  <c r="BR307" i="3"/>
  <c r="BS307" i="3"/>
  <c r="BT307" i="3"/>
  <c r="BL307" i="3"/>
  <c r="AZ307" i="3"/>
  <c r="BC308" i="3"/>
  <c r="BD308" i="3"/>
  <c r="BF308" i="3"/>
  <c r="BG308" i="3"/>
  <c r="BH308" i="3"/>
  <c r="BI308" i="3"/>
  <c r="BJ308" i="3"/>
  <c r="BK308" i="3"/>
  <c r="BA308" i="3"/>
  <c r="BM308" i="3"/>
  <c r="BN308" i="3"/>
  <c r="BO308" i="3"/>
  <c r="BP308" i="3"/>
  <c r="BQ308" i="3"/>
  <c r="BR308" i="3"/>
  <c r="BS308" i="3"/>
  <c r="BT308" i="3"/>
  <c r="BL308" i="3"/>
  <c r="AZ308" i="3"/>
  <c r="BC309" i="3"/>
  <c r="BD309" i="3"/>
  <c r="BF309" i="3"/>
  <c r="BG309" i="3"/>
  <c r="BH309" i="3"/>
  <c r="BI309" i="3"/>
  <c r="BJ309" i="3"/>
  <c r="BK309" i="3"/>
  <c r="BA309" i="3"/>
  <c r="BM309" i="3"/>
  <c r="BN309" i="3"/>
  <c r="BO309" i="3"/>
  <c r="BP309" i="3"/>
  <c r="BQ309" i="3"/>
  <c r="BR309" i="3"/>
  <c r="BS309" i="3"/>
  <c r="BT309" i="3"/>
  <c r="BL309" i="3"/>
  <c r="AZ309" i="3"/>
  <c r="BC310" i="3"/>
  <c r="BD310" i="3"/>
  <c r="BF310" i="3"/>
  <c r="BG310" i="3"/>
  <c r="BH310" i="3"/>
  <c r="BI310" i="3"/>
  <c r="BJ310" i="3"/>
  <c r="BK310" i="3"/>
  <c r="BA310" i="3"/>
  <c r="BM310" i="3"/>
  <c r="BN310" i="3"/>
  <c r="BO310" i="3"/>
  <c r="BP310" i="3"/>
  <c r="BQ310" i="3"/>
  <c r="BR310" i="3"/>
  <c r="BS310" i="3"/>
  <c r="BT310" i="3"/>
  <c r="BL310" i="3"/>
  <c r="AZ310" i="3"/>
  <c r="BC311" i="3"/>
  <c r="BD311" i="3"/>
  <c r="BF311" i="3"/>
  <c r="BG311" i="3"/>
  <c r="BH311" i="3"/>
  <c r="BI311" i="3"/>
  <c r="BJ311" i="3"/>
  <c r="BK311" i="3"/>
  <c r="BA311" i="3"/>
  <c r="BM311" i="3"/>
  <c r="BN311" i="3"/>
  <c r="BO311" i="3"/>
  <c r="BP311" i="3"/>
  <c r="BQ311" i="3"/>
  <c r="BR311" i="3"/>
  <c r="BS311" i="3"/>
  <c r="BT311" i="3"/>
  <c r="BL311" i="3"/>
  <c r="AZ311" i="3"/>
  <c r="BC312" i="3"/>
  <c r="BD312" i="3"/>
  <c r="BF312" i="3"/>
  <c r="BG312" i="3"/>
  <c r="BH312" i="3"/>
  <c r="BI312" i="3"/>
  <c r="BJ312" i="3"/>
  <c r="BK312" i="3"/>
  <c r="BA312" i="3"/>
  <c r="BM312" i="3"/>
  <c r="BN312" i="3"/>
  <c r="BO312" i="3"/>
  <c r="BP312" i="3"/>
  <c r="BQ312" i="3"/>
  <c r="BR312" i="3"/>
  <c r="BS312" i="3"/>
  <c r="BT312" i="3"/>
  <c r="BL312" i="3"/>
  <c r="AZ312" i="3"/>
  <c r="BC313" i="3"/>
  <c r="BD313" i="3"/>
  <c r="BF313" i="3"/>
  <c r="BG313" i="3"/>
  <c r="BH313" i="3"/>
  <c r="BI313" i="3"/>
  <c r="BJ313" i="3"/>
  <c r="BK313" i="3"/>
  <c r="BA313" i="3"/>
  <c r="BM313" i="3"/>
  <c r="BN313" i="3"/>
  <c r="BO313" i="3"/>
  <c r="BP313" i="3"/>
  <c r="BQ313" i="3"/>
  <c r="BR313" i="3"/>
  <c r="BS313" i="3"/>
  <c r="BT313" i="3"/>
  <c r="BL313" i="3"/>
  <c r="AZ313" i="3"/>
  <c r="BC314" i="3"/>
  <c r="BD314" i="3"/>
  <c r="BF314" i="3"/>
  <c r="BG314" i="3"/>
  <c r="BH314" i="3"/>
  <c r="BI314" i="3"/>
  <c r="BJ314" i="3"/>
  <c r="BK314" i="3"/>
  <c r="BA314" i="3"/>
  <c r="BM314" i="3"/>
  <c r="BN314" i="3"/>
  <c r="BO314" i="3"/>
  <c r="BP314" i="3"/>
  <c r="BQ314" i="3"/>
  <c r="BR314" i="3"/>
  <c r="BS314" i="3"/>
  <c r="BT314" i="3"/>
  <c r="BL314" i="3"/>
  <c r="AZ314" i="3"/>
  <c r="BC315" i="3"/>
  <c r="BD315" i="3"/>
  <c r="BF315" i="3"/>
  <c r="BG315" i="3"/>
  <c r="BH315" i="3"/>
  <c r="BI315" i="3"/>
  <c r="BJ315" i="3"/>
  <c r="BK315" i="3"/>
  <c r="BA315" i="3"/>
  <c r="BM315" i="3"/>
  <c r="BN315" i="3"/>
  <c r="BO315" i="3"/>
  <c r="BP315" i="3"/>
  <c r="BQ315" i="3"/>
  <c r="BR315" i="3"/>
  <c r="BS315" i="3"/>
  <c r="BT315" i="3"/>
  <c r="BL315" i="3"/>
  <c r="AZ315" i="3"/>
  <c r="BC316" i="3"/>
  <c r="BD316" i="3"/>
  <c r="BF316" i="3"/>
  <c r="BG316" i="3"/>
  <c r="BH316" i="3"/>
  <c r="BI316" i="3"/>
  <c r="BJ316" i="3"/>
  <c r="BK316" i="3"/>
  <c r="BA316" i="3"/>
  <c r="BM316" i="3"/>
  <c r="BN316" i="3"/>
  <c r="BO316" i="3"/>
  <c r="BP316" i="3"/>
  <c r="BQ316" i="3"/>
  <c r="BR316" i="3"/>
  <c r="BS316" i="3"/>
  <c r="BT316" i="3"/>
  <c r="BL316" i="3"/>
  <c r="AZ316" i="3"/>
  <c r="BC317" i="3"/>
  <c r="BD317" i="3"/>
  <c r="BF317" i="3"/>
  <c r="BG317" i="3"/>
  <c r="BH317" i="3"/>
  <c r="BI317" i="3"/>
  <c r="BJ317" i="3"/>
  <c r="BK317" i="3"/>
  <c r="BA317" i="3"/>
  <c r="BM317" i="3"/>
  <c r="BN317" i="3"/>
  <c r="BO317" i="3"/>
  <c r="BP317" i="3"/>
  <c r="BQ317" i="3"/>
  <c r="BR317" i="3"/>
  <c r="BS317" i="3"/>
  <c r="BT317" i="3"/>
  <c r="BL317" i="3"/>
  <c r="AZ317" i="3"/>
  <c r="BC318" i="3"/>
  <c r="BD318" i="3"/>
  <c r="BF318" i="3"/>
  <c r="BG318" i="3"/>
  <c r="BH318" i="3"/>
  <c r="BI318" i="3"/>
  <c r="BJ318" i="3"/>
  <c r="BK318" i="3"/>
  <c r="BA318" i="3"/>
  <c r="BM318" i="3"/>
  <c r="BN318" i="3"/>
  <c r="BO318" i="3"/>
  <c r="BP318" i="3"/>
  <c r="BQ318" i="3"/>
  <c r="BR318" i="3"/>
  <c r="BS318" i="3"/>
  <c r="BT318" i="3"/>
  <c r="BL318" i="3"/>
  <c r="AZ318" i="3"/>
  <c r="BC319" i="3"/>
  <c r="BD319" i="3"/>
  <c r="BF319" i="3"/>
  <c r="BG319" i="3"/>
  <c r="BH319" i="3"/>
  <c r="BI319" i="3"/>
  <c r="BJ319" i="3"/>
  <c r="BK319" i="3"/>
  <c r="BA319" i="3"/>
  <c r="BM319" i="3"/>
  <c r="BN319" i="3"/>
  <c r="BO319" i="3"/>
  <c r="BP319" i="3"/>
  <c r="BQ319" i="3"/>
  <c r="BR319" i="3"/>
  <c r="BS319" i="3"/>
  <c r="BT319" i="3"/>
  <c r="BL319" i="3"/>
  <c r="AZ319" i="3"/>
  <c r="BC320" i="3"/>
  <c r="BD320" i="3"/>
  <c r="BF320" i="3"/>
  <c r="BG320" i="3"/>
  <c r="BH320" i="3"/>
  <c r="BI320" i="3"/>
  <c r="BJ320" i="3"/>
  <c r="BK320" i="3"/>
  <c r="BA320" i="3"/>
  <c r="BM320" i="3"/>
  <c r="BN320" i="3"/>
  <c r="BO320" i="3"/>
  <c r="BP320" i="3"/>
  <c r="BQ320" i="3"/>
  <c r="BR320" i="3"/>
  <c r="BS320" i="3"/>
  <c r="BT320" i="3"/>
  <c r="BL320" i="3"/>
  <c r="AZ320" i="3"/>
  <c r="BC321" i="3"/>
  <c r="BD321" i="3"/>
  <c r="BF321" i="3"/>
  <c r="BG321" i="3"/>
  <c r="BH321" i="3"/>
  <c r="BI321" i="3"/>
  <c r="BJ321" i="3"/>
  <c r="BK321" i="3"/>
  <c r="BA321" i="3"/>
  <c r="BM321" i="3"/>
  <c r="BN321" i="3"/>
  <c r="BO321" i="3"/>
  <c r="BP321" i="3"/>
  <c r="BQ321" i="3"/>
  <c r="BR321" i="3"/>
  <c r="BS321" i="3"/>
  <c r="BT321" i="3"/>
  <c r="BL321" i="3"/>
  <c r="AZ321" i="3"/>
  <c r="BC322" i="3"/>
  <c r="BD322" i="3"/>
  <c r="BF322" i="3"/>
  <c r="BG322" i="3"/>
  <c r="BH322" i="3"/>
  <c r="BI322" i="3"/>
  <c r="BJ322" i="3"/>
  <c r="BK322" i="3"/>
  <c r="BA322" i="3"/>
  <c r="BM322" i="3"/>
  <c r="BN322" i="3"/>
  <c r="BO322" i="3"/>
  <c r="BP322" i="3"/>
  <c r="BQ322" i="3"/>
  <c r="BR322" i="3"/>
  <c r="BS322" i="3"/>
  <c r="BT322" i="3"/>
  <c r="BL322" i="3"/>
  <c r="AZ322" i="3"/>
  <c r="BC323" i="3"/>
  <c r="BD323" i="3"/>
  <c r="BF323" i="3"/>
  <c r="BG323" i="3"/>
  <c r="BH323" i="3"/>
  <c r="BI323" i="3"/>
  <c r="BJ323" i="3"/>
  <c r="BK323" i="3"/>
  <c r="BA323" i="3"/>
  <c r="BM323" i="3"/>
  <c r="BN323" i="3"/>
  <c r="BO323" i="3"/>
  <c r="BP323" i="3"/>
  <c r="BQ323" i="3"/>
  <c r="BR323" i="3"/>
  <c r="BS323" i="3"/>
  <c r="BT323" i="3"/>
  <c r="BL323" i="3"/>
  <c r="AZ323" i="3"/>
  <c r="BC324" i="3"/>
  <c r="BD324" i="3"/>
  <c r="BF324" i="3"/>
  <c r="BG324" i="3"/>
  <c r="BH324" i="3"/>
  <c r="BI324" i="3"/>
  <c r="BJ324" i="3"/>
  <c r="BK324" i="3"/>
  <c r="BA324" i="3"/>
  <c r="BM324" i="3"/>
  <c r="BN324" i="3"/>
  <c r="BO324" i="3"/>
  <c r="BP324" i="3"/>
  <c r="BQ324" i="3"/>
  <c r="BR324" i="3"/>
  <c r="BS324" i="3"/>
  <c r="BT324" i="3"/>
  <c r="BL324" i="3"/>
  <c r="AZ324" i="3"/>
  <c r="BC325" i="3"/>
  <c r="BD325" i="3"/>
  <c r="BF325" i="3"/>
  <c r="BG325" i="3"/>
  <c r="BH325" i="3"/>
  <c r="BI325" i="3"/>
  <c r="BJ325" i="3"/>
  <c r="BK325" i="3"/>
  <c r="BA325" i="3"/>
  <c r="BM325" i="3"/>
  <c r="BN325" i="3"/>
  <c r="BO325" i="3"/>
  <c r="BP325" i="3"/>
  <c r="BQ325" i="3"/>
  <c r="BR325" i="3"/>
  <c r="BS325" i="3"/>
  <c r="BT325" i="3"/>
  <c r="BL325" i="3"/>
  <c r="AZ325" i="3"/>
  <c r="BC326" i="3"/>
  <c r="BD326" i="3"/>
  <c r="BF326" i="3"/>
  <c r="BG326" i="3"/>
  <c r="BH326" i="3"/>
  <c r="BI326" i="3"/>
  <c r="BJ326" i="3"/>
  <c r="BK326" i="3"/>
  <c r="BA326" i="3"/>
  <c r="BM326" i="3"/>
  <c r="BN326" i="3"/>
  <c r="BO326" i="3"/>
  <c r="BP326" i="3"/>
  <c r="BQ326" i="3"/>
  <c r="BR326" i="3"/>
  <c r="BS326" i="3"/>
  <c r="BT326" i="3"/>
  <c r="BL326" i="3"/>
  <c r="AZ326" i="3"/>
  <c r="BC327" i="3"/>
  <c r="BD327" i="3"/>
  <c r="BF327" i="3"/>
  <c r="BG327" i="3"/>
  <c r="BH327" i="3"/>
  <c r="BI327" i="3"/>
  <c r="BJ327" i="3"/>
  <c r="BK327" i="3"/>
  <c r="BA327" i="3"/>
  <c r="BM327" i="3"/>
  <c r="BN327" i="3"/>
  <c r="BO327" i="3"/>
  <c r="BP327" i="3"/>
  <c r="BQ327" i="3"/>
  <c r="BR327" i="3"/>
  <c r="BS327" i="3"/>
  <c r="BT327" i="3"/>
  <c r="BL327" i="3"/>
  <c r="AZ327" i="3"/>
  <c r="BC328" i="3"/>
  <c r="BD328" i="3"/>
  <c r="BF328" i="3"/>
  <c r="BG328" i="3"/>
  <c r="BH328" i="3"/>
  <c r="BI328" i="3"/>
  <c r="BJ328" i="3"/>
  <c r="BK328" i="3"/>
  <c r="BA328" i="3"/>
  <c r="BM328" i="3"/>
  <c r="BN328" i="3"/>
  <c r="BO328" i="3"/>
  <c r="BP328" i="3"/>
  <c r="BQ328" i="3"/>
  <c r="BR328" i="3"/>
  <c r="BS328" i="3"/>
  <c r="BT328" i="3"/>
  <c r="BL328" i="3"/>
  <c r="AZ328" i="3"/>
  <c r="BC329" i="3"/>
  <c r="BD329" i="3"/>
  <c r="BF329" i="3"/>
  <c r="BG329" i="3"/>
  <c r="BH329" i="3"/>
  <c r="BI329" i="3"/>
  <c r="BJ329" i="3"/>
  <c r="BK329" i="3"/>
  <c r="BA329" i="3"/>
  <c r="BM329" i="3"/>
  <c r="BN329" i="3"/>
  <c r="BO329" i="3"/>
  <c r="BP329" i="3"/>
  <c r="BQ329" i="3"/>
  <c r="BR329" i="3"/>
  <c r="BS329" i="3"/>
  <c r="BT329" i="3"/>
  <c r="BL329" i="3"/>
  <c r="AZ329" i="3"/>
  <c r="BC330" i="3"/>
  <c r="BD330" i="3"/>
  <c r="BF330" i="3"/>
  <c r="BG330" i="3"/>
  <c r="BH330" i="3"/>
  <c r="BI330" i="3"/>
  <c r="BJ330" i="3"/>
  <c r="BK330" i="3"/>
  <c r="BA330" i="3"/>
  <c r="BM330" i="3"/>
  <c r="BN330" i="3"/>
  <c r="BO330" i="3"/>
  <c r="BP330" i="3"/>
  <c r="BQ330" i="3"/>
  <c r="BR330" i="3"/>
  <c r="BS330" i="3"/>
  <c r="BT330" i="3"/>
  <c r="BL330" i="3"/>
  <c r="AZ330" i="3"/>
  <c r="BC331" i="3"/>
  <c r="BD331" i="3"/>
  <c r="BF331" i="3"/>
  <c r="BG331" i="3"/>
  <c r="BH331" i="3"/>
  <c r="BI331" i="3"/>
  <c r="BJ331" i="3"/>
  <c r="BK331" i="3"/>
  <c r="BA331" i="3"/>
  <c r="BM331" i="3"/>
  <c r="BN331" i="3"/>
  <c r="BO331" i="3"/>
  <c r="BP331" i="3"/>
  <c r="BQ331" i="3"/>
  <c r="BR331" i="3"/>
  <c r="BS331" i="3"/>
  <c r="BT331" i="3"/>
  <c r="BL331" i="3"/>
  <c r="AZ331" i="3"/>
  <c r="BC332" i="3"/>
  <c r="BD332" i="3"/>
  <c r="BF332" i="3"/>
  <c r="BG332" i="3"/>
  <c r="BH332" i="3"/>
  <c r="BI332" i="3"/>
  <c r="BJ332" i="3"/>
  <c r="BK332" i="3"/>
  <c r="BA332" i="3"/>
  <c r="BM332" i="3"/>
  <c r="BN332" i="3"/>
  <c r="BO332" i="3"/>
  <c r="BP332" i="3"/>
  <c r="BQ332" i="3"/>
  <c r="BR332" i="3"/>
  <c r="BS332" i="3"/>
  <c r="BT332" i="3"/>
  <c r="BL332" i="3"/>
  <c r="AZ332" i="3"/>
  <c r="BC333" i="3"/>
  <c r="BD333" i="3"/>
  <c r="BF333" i="3"/>
  <c r="BG333" i="3"/>
  <c r="BH333" i="3"/>
  <c r="BI333" i="3"/>
  <c r="BJ333" i="3"/>
  <c r="BK333" i="3"/>
  <c r="BA333" i="3"/>
  <c r="BM333" i="3"/>
  <c r="BN333" i="3"/>
  <c r="BO333" i="3"/>
  <c r="BP333" i="3"/>
  <c r="BQ333" i="3"/>
  <c r="BR333" i="3"/>
  <c r="BS333" i="3"/>
  <c r="BT333" i="3"/>
  <c r="BL333" i="3"/>
  <c r="AZ333" i="3"/>
  <c r="BC334" i="3"/>
  <c r="BD334" i="3"/>
  <c r="BF334" i="3"/>
  <c r="BG334" i="3"/>
  <c r="BH334" i="3"/>
  <c r="BI334" i="3"/>
  <c r="BJ334" i="3"/>
  <c r="BK334" i="3"/>
  <c r="BA334" i="3"/>
  <c r="BM334" i="3"/>
  <c r="BN334" i="3"/>
  <c r="BO334" i="3"/>
  <c r="BP334" i="3"/>
  <c r="BQ334" i="3"/>
  <c r="BR334" i="3"/>
  <c r="BS334" i="3"/>
  <c r="BT334" i="3"/>
  <c r="BL334" i="3"/>
  <c r="AZ334" i="3"/>
  <c r="BC335" i="3"/>
  <c r="BD335" i="3"/>
  <c r="BF335" i="3"/>
  <c r="BG335" i="3"/>
  <c r="BH335" i="3"/>
  <c r="BI335" i="3"/>
  <c r="BJ335" i="3"/>
  <c r="BK335" i="3"/>
  <c r="BA335" i="3"/>
  <c r="BM335" i="3"/>
  <c r="BN335" i="3"/>
  <c r="BO335" i="3"/>
  <c r="BP335" i="3"/>
  <c r="BQ335" i="3"/>
  <c r="BR335" i="3"/>
  <c r="BS335" i="3"/>
  <c r="BT335" i="3"/>
  <c r="BL335" i="3"/>
  <c r="AZ335" i="3"/>
  <c r="BC336" i="3"/>
  <c r="BD336" i="3"/>
  <c r="BF336" i="3"/>
  <c r="BG336" i="3"/>
  <c r="BH336" i="3"/>
  <c r="BI336" i="3"/>
  <c r="BJ336" i="3"/>
  <c r="BK336" i="3"/>
  <c r="BA336" i="3"/>
  <c r="BM336" i="3"/>
  <c r="BN336" i="3"/>
  <c r="BO336" i="3"/>
  <c r="BP336" i="3"/>
  <c r="BQ336" i="3"/>
  <c r="BR336" i="3"/>
  <c r="BS336" i="3"/>
  <c r="BT336" i="3"/>
  <c r="BL336" i="3"/>
  <c r="AZ336" i="3"/>
  <c r="BC337" i="3"/>
  <c r="BD337" i="3"/>
  <c r="BF337" i="3"/>
  <c r="BG337" i="3"/>
  <c r="BH337" i="3"/>
  <c r="BI337" i="3"/>
  <c r="BJ337" i="3"/>
  <c r="BK337" i="3"/>
  <c r="BA337" i="3"/>
  <c r="BM337" i="3"/>
  <c r="BN337" i="3"/>
  <c r="BO337" i="3"/>
  <c r="BP337" i="3"/>
  <c r="BQ337" i="3"/>
  <c r="BR337" i="3"/>
  <c r="BS337" i="3"/>
  <c r="BT337" i="3"/>
  <c r="BL337" i="3"/>
  <c r="AZ337" i="3"/>
  <c r="BC338" i="3"/>
  <c r="BD338" i="3"/>
  <c r="BF338" i="3"/>
  <c r="BG338" i="3"/>
  <c r="BH338" i="3"/>
  <c r="BI338" i="3"/>
  <c r="BJ338" i="3"/>
  <c r="BK338" i="3"/>
  <c r="BA338" i="3"/>
  <c r="BM338" i="3"/>
  <c r="BN338" i="3"/>
  <c r="BO338" i="3"/>
  <c r="BP338" i="3"/>
  <c r="BQ338" i="3"/>
  <c r="BR338" i="3"/>
  <c r="BS338" i="3"/>
  <c r="BT338" i="3"/>
  <c r="BL338" i="3"/>
  <c r="AZ338" i="3"/>
  <c r="BC339" i="3"/>
  <c r="BD339" i="3"/>
  <c r="BF339" i="3"/>
  <c r="BG339" i="3"/>
  <c r="BH339" i="3"/>
  <c r="BI339" i="3"/>
  <c r="BJ339" i="3"/>
  <c r="BK339" i="3"/>
  <c r="BA339" i="3"/>
  <c r="BM339" i="3"/>
  <c r="BN339" i="3"/>
  <c r="BO339" i="3"/>
  <c r="BP339" i="3"/>
  <c r="BQ339" i="3"/>
  <c r="BR339" i="3"/>
  <c r="BS339" i="3"/>
  <c r="BT339" i="3"/>
  <c r="BL339" i="3"/>
  <c r="AZ339" i="3"/>
  <c r="BC340" i="3"/>
  <c r="BD340" i="3"/>
  <c r="BF340" i="3"/>
  <c r="BG340" i="3"/>
  <c r="BH340" i="3"/>
  <c r="BI340" i="3"/>
  <c r="BJ340" i="3"/>
  <c r="BK340" i="3"/>
  <c r="BA340" i="3"/>
  <c r="BM340" i="3"/>
  <c r="BN340" i="3"/>
  <c r="BO340" i="3"/>
  <c r="BP340" i="3"/>
  <c r="BQ340" i="3"/>
  <c r="BR340" i="3"/>
  <c r="BS340" i="3"/>
  <c r="BT340" i="3"/>
  <c r="BL340" i="3"/>
  <c r="AZ340" i="3"/>
  <c r="BC341" i="3"/>
  <c r="BD341" i="3"/>
  <c r="BF341" i="3"/>
  <c r="BG341" i="3"/>
  <c r="BH341" i="3"/>
  <c r="BI341" i="3"/>
  <c r="BJ341" i="3"/>
  <c r="BK341" i="3"/>
  <c r="BA341" i="3"/>
  <c r="BM341" i="3"/>
  <c r="BN341" i="3"/>
  <c r="BO341" i="3"/>
  <c r="BP341" i="3"/>
  <c r="BQ341" i="3"/>
  <c r="BR341" i="3"/>
  <c r="BS341" i="3"/>
  <c r="BT341" i="3"/>
  <c r="BL341" i="3"/>
  <c r="AZ341" i="3"/>
  <c r="BC342" i="3"/>
  <c r="BD342" i="3"/>
  <c r="BF342" i="3"/>
  <c r="BG342" i="3"/>
  <c r="BH342" i="3"/>
  <c r="BI342" i="3"/>
  <c r="BJ342" i="3"/>
  <c r="BK342" i="3"/>
  <c r="BA342" i="3"/>
  <c r="BM342" i="3"/>
  <c r="BN342" i="3"/>
  <c r="BO342" i="3"/>
  <c r="BP342" i="3"/>
  <c r="BQ342" i="3"/>
  <c r="BR342" i="3"/>
  <c r="BS342" i="3"/>
  <c r="BT342" i="3"/>
  <c r="BL342" i="3"/>
  <c r="AZ342" i="3"/>
  <c r="BC343" i="3"/>
  <c r="BD343" i="3"/>
  <c r="BF343" i="3"/>
  <c r="BG343" i="3"/>
  <c r="BH343" i="3"/>
  <c r="BI343" i="3"/>
  <c r="BJ343" i="3"/>
  <c r="BK343" i="3"/>
  <c r="BA343" i="3"/>
  <c r="BM343" i="3"/>
  <c r="BN343" i="3"/>
  <c r="BO343" i="3"/>
  <c r="BP343" i="3"/>
  <c r="BQ343" i="3"/>
  <c r="BR343" i="3"/>
  <c r="BS343" i="3"/>
  <c r="BT343" i="3"/>
  <c r="BL343" i="3"/>
  <c r="AZ343" i="3"/>
  <c r="BC344" i="3"/>
  <c r="BD344" i="3"/>
  <c r="BF344" i="3"/>
  <c r="BG344" i="3"/>
  <c r="BH344" i="3"/>
  <c r="BI344" i="3"/>
  <c r="BJ344" i="3"/>
  <c r="BK344" i="3"/>
  <c r="BA344" i="3"/>
  <c r="BM344" i="3"/>
  <c r="BN344" i="3"/>
  <c r="BO344" i="3"/>
  <c r="BP344" i="3"/>
  <c r="BQ344" i="3"/>
  <c r="BR344" i="3"/>
  <c r="BS344" i="3"/>
  <c r="BT344" i="3"/>
  <c r="BL344" i="3"/>
  <c r="AZ344" i="3"/>
  <c r="BC345" i="3"/>
  <c r="BD345" i="3"/>
  <c r="BF345" i="3"/>
  <c r="BG345" i="3"/>
  <c r="BH345" i="3"/>
  <c r="BI345" i="3"/>
  <c r="BJ345" i="3"/>
  <c r="BK345" i="3"/>
  <c r="BA345" i="3"/>
  <c r="BM345" i="3"/>
  <c r="BN345" i="3"/>
  <c r="BO345" i="3"/>
  <c r="BP345" i="3"/>
  <c r="BQ345" i="3"/>
  <c r="BR345" i="3"/>
  <c r="BS345" i="3"/>
  <c r="BT345" i="3"/>
  <c r="BL345" i="3"/>
  <c r="AZ345" i="3"/>
  <c r="BC346" i="3"/>
  <c r="BD346" i="3"/>
  <c r="BF346" i="3"/>
  <c r="BG346" i="3"/>
  <c r="BH346" i="3"/>
  <c r="BI346" i="3"/>
  <c r="BJ346" i="3"/>
  <c r="BK346" i="3"/>
  <c r="BA346" i="3"/>
  <c r="BM346" i="3"/>
  <c r="BN346" i="3"/>
  <c r="BO346" i="3"/>
  <c r="BP346" i="3"/>
  <c r="BQ346" i="3"/>
  <c r="BR346" i="3"/>
  <c r="BS346" i="3"/>
  <c r="BT346" i="3"/>
  <c r="BL346" i="3"/>
  <c r="AZ346" i="3"/>
  <c r="BC347" i="3"/>
  <c r="BD347" i="3"/>
  <c r="BF347" i="3"/>
  <c r="BG347" i="3"/>
  <c r="BH347" i="3"/>
  <c r="BI347" i="3"/>
  <c r="BJ347" i="3"/>
  <c r="BK347" i="3"/>
  <c r="BA347" i="3"/>
  <c r="BM347" i="3"/>
  <c r="BN347" i="3"/>
  <c r="BO347" i="3"/>
  <c r="BP347" i="3"/>
  <c r="BQ347" i="3"/>
  <c r="BR347" i="3"/>
  <c r="BS347" i="3"/>
  <c r="BT347" i="3"/>
  <c r="BL347" i="3"/>
  <c r="AZ347" i="3"/>
  <c r="BC348" i="3"/>
  <c r="BD348" i="3"/>
  <c r="BF348" i="3"/>
  <c r="BG348" i="3"/>
  <c r="BH348" i="3"/>
  <c r="BI348" i="3"/>
  <c r="BJ348" i="3"/>
  <c r="BK348" i="3"/>
  <c r="BA348" i="3"/>
  <c r="BM348" i="3"/>
  <c r="BN348" i="3"/>
  <c r="BO348" i="3"/>
  <c r="BP348" i="3"/>
  <c r="BQ348" i="3"/>
  <c r="BR348" i="3"/>
  <c r="BS348" i="3"/>
  <c r="BT348" i="3"/>
  <c r="BL348" i="3"/>
  <c r="AZ348" i="3"/>
  <c r="BC349" i="3"/>
  <c r="BD349" i="3"/>
  <c r="BF349" i="3"/>
  <c r="BG349" i="3"/>
  <c r="BH349" i="3"/>
  <c r="BI349" i="3"/>
  <c r="BJ349" i="3"/>
  <c r="BK349" i="3"/>
  <c r="BA349" i="3"/>
  <c r="BM349" i="3"/>
  <c r="BN349" i="3"/>
  <c r="BO349" i="3"/>
  <c r="BP349" i="3"/>
  <c r="BQ349" i="3"/>
  <c r="BR349" i="3"/>
  <c r="BS349" i="3"/>
  <c r="BT349" i="3"/>
  <c r="BL349" i="3"/>
  <c r="AZ349" i="3"/>
  <c r="BC350" i="3"/>
  <c r="BD350" i="3"/>
  <c r="BF350" i="3"/>
  <c r="BG350" i="3"/>
  <c r="BH350" i="3"/>
  <c r="BI350" i="3"/>
  <c r="BJ350" i="3"/>
  <c r="BK350" i="3"/>
  <c r="BA350" i="3"/>
  <c r="BM350" i="3"/>
  <c r="BN350" i="3"/>
  <c r="BO350" i="3"/>
  <c r="BP350" i="3"/>
  <c r="BQ350" i="3"/>
  <c r="BR350" i="3"/>
  <c r="BS350" i="3"/>
  <c r="BT350" i="3"/>
  <c r="BL350" i="3"/>
  <c r="AZ350" i="3"/>
  <c r="BC351" i="3"/>
  <c r="BD351" i="3"/>
  <c r="BF351" i="3"/>
  <c r="BG351" i="3"/>
  <c r="BH351" i="3"/>
  <c r="BI351" i="3"/>
  <c r="BJ351" i="3"/>
  <c r="BK351" i="3"/>
  <c r="BA351" i="3"/>
  <c r="BM351" i="3"/>
  <c r="BN351" i="3"/>
  <c r="BO351" i="3"/>
  <c r="BP351" i="3"/>
  <c r="BQ351" i="3"/>
  <c r="BR351" i="3"/>
  <c r="BS351" i="3"/>
  <c r="BT351" i="3"/>
  <c r="BL351" i="3"/>
  <c r="AZ351" i="3"/>
  <c r="BC352" i="3"/>
  <c r="BD352" i="3"/>
  <c r="BF352" i="3"/>
  <c r="BG352" i="3"/>
  <c r="BH352" i="3"/>
  <c r="BI352" i="3"/>
  <c r="BJ352" i="3"/>
  <c r="BK352" i="3"/>
  <c r="BA352" i="3"/>
  <c r="BM352" i="3"/>
  <c r="BN352" i="3"/>
  <c r="BO352" i="3"/>
  <c r="BP352" i="3"/>
  <c r="BQ352" i="3"/>
  <c r="BR352" i="3"/>
  <c r="BS352" i="3"/>
  <c r="BT352" i="3"/>
  <c r="BL352" i="3"/>
  <c r="AZ352" i="3"/>
  <c r="BC353" i="3"/>
  <c r="BD353" i="3"/>
  <c r="BF353" i="3"/>
  <c r="BG353" i="3"/>
  <c r="BH353" i="3"/>
  <c r="BI353" i="3"/>
  <c r="BJ353" i="3"/>
  <c r="BK353" i="3"/>
  <c r="BA353" i="3"/>
  <c r="BM353" i="3"/>
  <c r="BN353" i="3"/>
  <c r="BO353" i="3"/>
  <c r="BP353" i="3"/>
  <c r="BQ353" i="3"/>
  <c r="BR353" i="3"/>
  <c r="BS353" i="3"/>
  <c r="BT353" i="3"/>
  <c r="BL353" i="3"/>
  <c r="AZ353" i="3"/>
  <c r="BC354" i="3"/>
  <c r="BD354" i="3"/>
  <c r="BF354" i="3"/>
  <c r="BG354" i="3"/>
  <c r="BH354" i="3"/>
  <c r="BI354" i="3"/>
  <c r="BJ354" i="3"/>
  <c r="BK354" i="3"/>
  <c r="BA354" i="3"/>
  <c r="BM354" i="3"/>
  <c r="BN354" i="3"/>
  <c r="BO354" i="3"/>
  <c r="BP354" i="3"/>
  <c r="BQ354" i="3"/>
  <c r="BR354" i="3"/>
  <c r="BS354" i="3"/>
  <c r="BT354" i="3"/>
  <c r="BL354" i="3"/>
  <c r="AZ354" i="3"/>
  <c r="BC355" i="3"/>
  <c r="BD355" i="3"/>
  <c r="BF355" i="3"/>
  <c r="BG355" i="3"/>
  <c r="BH355" i="3"/>
  <c r="BI355" i="3"/>
  <c r="BJ355" i="3"/>
  <c r="BK355" i="3"/>
  <c r="BA355" i="3"/>
  <c r="BM355" i="3"/>
  <c r="BN355" i="3"/>
  <c r="BO355" i="3"/>
  <c r="BP355" i="3"/>
  <c r="BQ355" i="3"/>
  <c r="BR355" i="3"/>
  <c r="BS355" i="3"/>
  <c r="BT355" i="3"/>
  <c r="BL355" i="3"/>
  <c r="AZ355" i="3"/>
  <c r="BC356" i="3"/>
  <c r="BD356" i="3"/>
  <c r="BF356" i="3"/>
  <c r="BG356" i="3"/>
  <c r="BH356" i="3"/>
  <c r="BI356" i="3"/>
  <c r="BJ356" i="3"/>
  <c r="BK356" i="3"/>
  <c r="BA356" i="3"/>
  <c r="BM356" i="3"/>
  <c r="BN356" i="3"/>
  <c r="BO356" i="3"/>
  <c r="BP356" i="3"/>
  <c r="BQ356" i="3"/>
  <c r="BR356" i="3"/>
  <c r="BS356" i="3"/>
  <c r="BT356" i="3"/>
  <c r="BL356" i="3"/>
  <c r="AZ356" i="3"/>
  <c r="BC357" i="3"/>
  <c r="BD357" i="3"/>
  <c r="BF357" i="3"/>
  <c r="BG357" i="3"/>
  <c r="BH357" i="3"/>
  <c r="BI357" i="3"/>
  <c r="BJ357" i="3"/>
  <c r="BK357" i="3"/>
  <c r="BA357" i="3"/>
  <c r="BM357" i="3"/>
  <c r="BN357" i="3"/>
  <c r="BO357" i="3"/>
  <c r="BP357" i="3"/>
  <c r="BQ357" i="3"/>
  <c r="BR357" i="3"/>
  <c r="BS357" i="3"/>
  <c r="BT357" i="3"/>
  <c r="BL357" i="3"/>
  <c r="AZ357" i="3"/>
  <c r="BC358" i="3"/>
  <c r="BD358" i="3"/>
  <c r="BF358" i="3"/>
  <c r="BG358" i="3"/>
  <c r="BH358" i="3"/>
  <c r="BI358" i="3"/>
  <c r="BJ358" i="3"/>
  <c r="BK358" i="3"/>
  <c r="BA358" i="3"/>
  <c r="BM358" i="3"/>
  <c r="BN358" i="3"/>
  <c r="BO358" i="3"/>
  <c r="BP358" i="3"/>
  <c r="BQ358" i="3"/>
  <c r="BR358" i="3"/>
  <c r="BS358" i="3"/>
  <c r="BT358" i="3"/>
  <c r="BL358" i="3"/>
  <c r="AZ358" i="3"/>
  <c r="BC359" i="3"/>
  <c r="BD359" i="3"/>
  <c r="BF359" i="3"/>
  <c r="BG359" i="3"/>
  <c r="BH359" i="3"/>
  <c r="BI359" i="3"/>
  <c r="BJ359" i="3"/>
  <c r="BK359" i="3"/>
  <c r="BA359" i="3"/>
  <c r="BM359" i="3"/>
  <c r="BN359" i="3"/>
  <c r="BO359" i="3"/>
  <c r="BP359" i="3"/>
  <c r="BQ359" i="3"/>
  <c r="BR359" i="3"/>
  <c r="BS359" i="3"/>
  <c r="BT359" i="3"/>
  <c r="BL359" i="3"/>
  <c r="AZ359" i="3"/>
  <c r="BC360" i="3"/>
  <c r="BD360" i="3"/>
  <c r="BF360" i="3"/>
  <c r="BG360" i="3"/>
  <c r="BH360" i="3"/>
  <c r="BI360" i="3"/>
  <c r="BJ360" i="3"/>
  <c r="BK360" i="3"/>
  <c r="BA360" i="3"/>
  <c r="BM360" i="3"/>
  <c r="BN360" i="3"/>
  <c r="BO360" i="3"/>
  <c r="BP360" i="3"/>
  <c r="BQ360" i="3"/>
  <c r="BR360" i="3"/>
  <c r="BS360" i="3"/>
  <c r="BT360" i="3"/>
  <c r="BL360" i="3"/>
  <c r="AZ360" i="3"/>
  <c r="BC361" i="3"/>
  <c r="BD361" i="3"/>
  <c r="BF361" i="3"/>
  <c r="BG361" i="3"/>
  <c r="BH361" i="3"/>
  <c r="BI361" i="3"/>
  <c r="BJ361" i="3"/>
  <c r="BK361" i="3"/>
  <c r="BA361" i="3"/>
  <c r="BM361" i="3"/>
  <c r="BN361" i="3"/>
  <c r="BO361" i="3"/>
  <c r="BP361" i="3"/>
  <c r="BQ361" i="3"/>
  <c r="BR361" i="3"/>
  <c r="BS361" i="3"/>
  <c r="BT361" i="3"/>
  <c r="BL361" i="3"/>
  <c r="AZ361" i="3"/>
  <c r="BC362" i="3"/>
  <c r="BD362" i="3"/>
  <c r="BF362" i="3"/>
  <c r="BG362" i="3"/>
  <c r="BH362" i="3"/>
  <c r="BI362" i="3"/>
  <c r="BJ362" i="3"/>
  <c r="BK362" i="3"/>
  <c r="BA362" i="3"/>
  <c r="BM362" i="3"/>
  <c r="BN362" i="3"/>
  <c r="BO362" i="3"/>
  <c r="BP362" i="3"/>
  <c r="BQ362" i="3"/>
  <c r="BR362" i="3"/>
  <c r="BS362" i="3"/>
  <c r="BT362" i="3"/>
  <c r="BL362" i="3"/>
  <c r="AZ362" i="3"/>
  <c r="BC363" i="3"/>
  <c r="BD363" i="3"/>
  <c r="BF363" i="3"/>
  <c r="BG363" i="3"/>
  <c r="BH363" i="3"/>
  <c r="BI363" i="3"/>
  <c r="BJ363" i="3"/>
  <c r="BK363" i="3"/>
  <c r="BA363" i="3"/>
  <c r="BM363" i="3"/>
  <c r="BN363" i="3"/>
  <c r="BO363" i="3"/>
  <c r="BP363" i="3"/>
  <c r="BQ363" i="3"/>
  <c r="BR363" i="3"/>
  <c r="BS363" i="3"/>
  <c r="BT363" i="3"/>
  <c r="BL363" i="3"/>
  <c r="AZ363" i="3"/>
  <c r="BC364" i="3"/>
  <c r="BD364" i="3"/>
  <c r="BF364" i="3"/>
  <c r="BG364" i="3"/>
  <c r="BH364" i="3"/>
  <c r="BI364" i="3"/>
  <c r="BJ364" i="3"/>
  <c r="BK364" i="3"/>
  <c r="BA364" i="3"/>
  <c r="BM364" i="3"/>
  <c r="BN364" i="3"/>
  <c r="BO364" i="3"/>
  <c r="BP364" i="3"/>
  <c r="BQ364" i="3"/>
  <c r="BR364" i="3"/>
  <c r="BS364" i="3"/>
  <c r="BT364" i="3"/>
  <c r="BL364" i="3"/>
  <c r="AZ364" i="3"/>
  <c r="BC365" i="3"/>
  <c r="BD365" i="3"/>
  <c r="BF365" i="3"/>
  <c r="BG365" i="3"/>
  <c r="BH365" i="3"/>
  <c r="BI365" i="3"/>
  <c r="BJ365" i="3"/>
  <c r="BK365" i="3"/>
  <c r="BA365" i="3"/>
  <c r="BM365" i="3"/>
  <c r="BN365" i="3"/>
  <c r="BO365" i="3"/>
  <c r="BP365" i="3"/>
  <c r="BQ365" i="3"/>
  <c r="BR365" i="3"/>
  <c r="BS365" i="3"/>
  <c r="BT365" i="3"/>
  <c r="BL365" i="3"/>
  <c r="AZ365" i="3"/>
  <c r="BC366" i="3"/>
  <c r="BD366" i="3"/>
  <c r="BF366" i="3"/>
  <c r="BG366" i="3"/>
  <c r="BH366" i="3"/>
  <c r="BI366" i="3"/>
  <c r="BJ366" i="3"/>
  <c r="BK366" i="3"/>
  <c r="BA366" i="3"/>
  <c r="BM366" i="3"/>
  <c r="BN366" i="3"/>
  <c r="BO366" i="3"/>
  <c r="BP366" i="3"/>
  <c r="BQ366" i="3"/>
  <c r="BR366" i="3"/>
  <c r="BS366" i="3"/>
  <c r="BT366" i="3"/>
  <c r="BL366" i="3"/>
  <c r="AZ366" i="3"/>
  <c r="BC367" i="3"/>
  <c r="BD367" i="3"/>
  <c r="BF367" i="3"/>
  <c r="BG367" i="3"/>
  <c r="BH367" i="3"/>
  <c r="BI367" i="3"/>
  <c r="BJ367" i="3"/>
  <c r="BK367" i="3"/>
  <c r="BA367" i="3"/>
  <c r="BM367" i="3"/>
  <c r="BN367" i="3"/>
  <c r="BO367" i="3"/>
  <c r="BP367" i="3"/>
  <c r="BQ367" i="3"/>
  <c r="BR367" i="3"/>
  <c r="BS367" i="3"/>
  <c r="BT367" i="3"/>
  <c r="BL367" i="3"/>
  <c r="AZ367" i="3"/>
  <c r="BC368" i="3"/>
  <c r="BD368" i="3"/>
  <c r="BF368" i="3"/>
  <c r="BG368" i="3"/>
  <c r="BH368" i="3"/>
  <c r="BI368" i="3"/>
  <c r="BJ368" i="3"/>
  <c r="BK368" i="3"/>
  <c r="BA368" i="3"/>
  <c r="BM368" i="3"/>
  <c r="BN368" i="3"/>
  <c r="BO368" i="3"/>
  <c r="BP368" i="3"/>
  <c r="BQ368" i="3"/>
  <c r="BR368" i="3"/>
  <c r="BS368" i="3"/>
  <c r="BT368" i="3"/>
  <c r="BL368" i="3"/>
  <c r="AZ368" i="3"/>
  <c r="BC369" i="3"/>
  <c r="BD369" i="3"/>
  <c r="BF369" i="3"/>
  <c r="BG369" i="3"/>
  <c r="BH369" i="3"/>
  <c r="BI369" i="3"/>
  <c r="BJ369" i="3"/>
  <c r="BK369" i="3"/>
  <c r="BA369" i="3"/>
  <c r="BM369" i="3"/>
  <c r="BN369" i="3"/>
  <c r="BO369" i="3"/>
  <c r="BP369" i="3"/>
  <c r="BQ369" i="3"/>
  <c r="BR369" i="3"/>
  <c r="BS369" i="3"/>
  <c r="BT369" i="3"/>
  <c r="BL369" i="3"/>
  <c r="AZ369" i="3"/>
  <c r="BC370" i="3"/>
  <c r="BD370" i="3"/>
  <c r="BF370" i="3"/>
  <c r="BG370" i="3"/>
  <c r="BH370" i="3"/>
  <c r="BI370" i="3"/>
  <c r="BJ370" i="3"/>
  <c r="BK370" i="3"/>
  <c r="BA370" i="3"/>
  <c r="BM370" i="3"/>
  <c r="BN370" i="3"/>
  <c r="BO370" i="3"/>
  <c r="BP370" i="3"/>
  <c r="BQ370" i="3"/>
  <c r="BR370" i="3"/>
  <c r="BS370" i="3"/>
  <c r="BT370" i="3"/>
  <c r="BL370" i="3"/>
  <c r="AZ370" i="3"/>
  <c r="BC371" i="3"/>
  <c r="BD371" i="3"/>
  <c r="BF371" i="3"/>
  <c r="BG371" i="3"/>
  <c r="BH371" i="3"/>
  <c r="BI371" i="3"/>
  <c r="BJ371" i="3"/>
  <c r="BK371" i="3"/>
  <c r="BA371" i="3"/>
  <c r="BM371" i="3"/>
  <c r="BN371" i="3"/>
  <c r="BO371" i="3"/>
  <c r="BP371" i="3"/>
  <c r="BQ371" i="3"/>
  <c r="BR371" i="3"/>
  <c r="BS371" i="3"/>
  <c r="BT371" i="3"/>
  <c r="BL371" i="3"/>
  <c r="AZ371" i="3"/>
  <c r="BC372" i="3"/>
  <c r="BD372" i="3"/>
  <c r="BF372" i="3"/>
  <c r="BG372" i="3"/>
  <c r="BH372" i="3"/>
  <c r="BI372" i="3"/>
  <c r="BJ372" i="3"/>
  <c r="BK372" i="3"/>
  <c r="BA372" i="3"/>
  <c r="BM372" i="3"/>
  <c r="BN372" i="3"/>
  <c r="BO372" i="3"/>
  <c r="BP372" i="3"/>
  <c r="BQ372" i="3"/>
  <c r="BR372" i="3"/>
  <c r="BS372" i="3"/>
  <c r="BT372" i="3"/>
  <c r="BL372" i="3"/>
  <c r="AZ372" i="3"/>
  <c r="BC373" i="3"/>
  <c r="BD373" i="3"/>
  <c r="BF373" i="3"/>
  <c r="BG373" i="3"/>
  <c r="BH373" i="3"/>
  <c r="BI373" i="3"/>
  <c r="BJ373" i="3"/>
  <c r="BK373" i="3"/>
  <c r="BA373" i="3"/>
  <c r="BM373" i="3"/>
  <c r="BN373" i="3"/>
  <c r="BO373" i="3"/>
  <c r="BP373" i="3"/>
  <c r="BQ373" i="3"/>
  <c r="BR373" i="3"/>
  <c r="BS373" i="3"/>
  <c r="BT373" i="3"/>
  <c r="BL373" i="3"/>
  <c r="AZ373" i="3"/>
  <c r="BC374" i="3"/>
  <c r="BD374" i="3"/>
  <c r="BF374" i="3"/>
  <c r="BG374" i="3"/>
  <c r="BH374" i="3"/>
  <c r="BI374" i="3"/>
  <c r="BJ374" i="3"/>
  <c r="BK374" i="3"/>
  <c r="BA374" i="3"/>
  <c r="BM374" i="3"/>
  <c r="BN374" i="3"/>
  <c r="BO374" i="3"/>
  <c r="BP374" i="3"/>
  <c r="BQ374" i="3"/>
  <c r="BR374" i="3"/>
  <c r="BS374" i="3"/>
  <c r="BT374" i="3"/>
  <c r="BL374" i="3"/>
  <c r="AZ374" i="3"/>
  <c r="BC375" i="3"/>
  <c r="BD375" i="3"/>
  <c r="BF375" i="3"/>
  <c r="BG375" i="3"/>
  <c r="BH375" i="3"/>
  <c r="BI375" i="3"/>
  <c r="BJ375" i="3"/>
  <c r="BK375" i="3"/>
  <c r="BA375" i="3"/>
  <c r="BM375" i="3"/>
  <c r="BN375" i="3"/>
  <c r="BO375" i="3"/>
  <c r="BP375" i="3"/>
  <c r="BQ375" i="3"/>
  <c r="BR375" i="3"/>
  <c r="BS375" i="3"/>
  <c r="BT375" i="3"/>
  <c r="BL375" i="3"/>
  <c r="AZ375" i="3"/>
  <c r="BC376" i="3"/>
  <c r="BD376" i="3"/>
  <c r="BF376" i="3"/>
  <c r="BG376" i="3"/>
  <c r="BH376" i="3"/>
  <c r="BI376" i="3"/>
  <c r="BJ376" i="3"/>
  <c r="BK376" i="3"/>
  <c r="BA376" i="3"/>
  <c r="BM376" i="3"/>
  <c r="BN376" i="3"/>
  <c r="BO376" i="3"/>
  <c r="BP376" i="3"/>
  <c r="BQ376" i="3"/>
  <c r="BR376" i="3"/>
  <c r="BS376" i="3"/>
  <c r="BT376" i="3"/>
  <c r="BL376" i="3"/>
  <c r="AZ376" i="3"/>
  <c r="BC377" i="3"/>
  <c r="BD377" i="3"/>
  <c r="BF377" i="3"/>
  <c r="BG377" i="3"/>
  <c r="BH377" i="3"/>
  <c r="BI377" i="3"/>
  <c r="BJ377" i="3"/>
  <c r="BK377" i="3"/>
  <c r="BA377" i="3"/>
  <c r="BM377" i="3"/>
  <c r="BN377" i="3"/>
  <c r="BO377" i="3"/>
  <c r="BP377" i="3"/>
  <c r="BQ377" i="3"/>
  <c r="BR377" i="3"/>
  <c r="BS377" i="3"/>
  <c r="BT377" i="3"/>
  <c r="BL377" i="3"/>
  <c r="AZ377" i="3"/>
  <c r="BC378" i="3"/>
  <c r="BD378" i="3"/>
  <c r="BF378" i="3"/>
  <c r="BG378" i="3"/>
  <c r="BH378" i="3"/>
  <c r="BI378" i="3"/>
  <c r="BJ378" i="3"/>
  <c r="BK378" i="3"/>
  <c r="BA378" i="3"/>
  <c r="BM378" i="3"/>
  <c r="BN378" i="3"/>
  <c r="BO378" i="3"/>
  <c r="BP378" i="3"/>
  <c r="BQ378" i="3"/>
  <c r="BR378" i="3"/>
  <c r="BS378" i="3"/>
  <c r="BT378" i="3"/>
  <c r="BL378" i="3"/>
  <c r="AZ378" i="3"/>
  <c r="BC379" i="3"/>
  <c r="BD379" i="3"/>
  <c r="BF379" i="3"/>
  <c r="BG379" i="3"/>
  <c r="BH379" i="3"/>
  <c r="BI379" i="3"/>
  <c r="BJ379" i="3"/>
  <c r="BK379" i="3"/>
  <c r="BA379" i="3"/>
  <c r="BM379" i="3"/>
  <c r="BN379" i="3"/>
  <c r="BO379" i="3"/>
  <c r="BP379" i="3"/>
  <c r="BQ379" i="3"/>
  <c r="BR379" i="3"/>
  <c r="BS379" i="3"/>
  <c r="BT379" i="3"/>
  <c r="BL379" i="3"/>
  <c r="AZ379" i="3"/>
  <c r="BC380" i="3"/>
  <c r="BD380" i="3"/>
  <c r="BF380" i="3"/>
  <c r="BG380" i="3"/>
  <c r="BH380" i="3"/>
  <c r="BI380" i="3"/>
  <c r="BJ380" i="3"/>
  <c r="BK380" i="3"/>
  <c r="BA380" i="3"/>
  <c r="BM380" i="3"/>
  <c r="BN380" i="3"/>
  <c r="BO380" i="3"/>
  <c r="BP380" i="3"/>
  <c r="BQ380" i="3"/>
  <c r="BR380" i="3"/>
  <c r="BS380" i="3"/>
  <c r="BT380" i="3"/>
  <c r="BL380" i="3"/>
  <c r="AZ380" i="3"/>
  <c r="BC381" i="3"/>
  <c r="BD381" i="3"/>
  <c r="BF381" i="3"/>
  <c r="BG381" i="3"/>
  <c r="BH381" i="3"/>
  <c r="BI381" i="3"/>
  <c r="BJ381" i="3"/>
  <c r="BK381" i="3"/>
  <c r="BA381" i="3"/>
  <c r="BM381" i="3"/>
  <c r="BN381" i="3"/>
  <c r="BO381" i="3"/>
  <c r="BP381" i="3"/>
  <c r="BQ381" i="3"/>
  <c r="BR381" i="3"/>
  <c r="BS381" i="3"/>
  <c r="BT381" i="3"/>
  <c r="BL381" i="3"/>
  <c r="AZ381" i="3"/>
  <c r="BC382" i="3"/>
  <c r="BD382" i="3"/>
  <c r="BF382" i="3"/>
  <c r="BG382" i="3"/>
  <c r="BH382" i="3"/>
  <c r="BI382" i="3"/>
  <c r="BJ382" i="3"/>
  <c r="BK382" i="3"/>
  <c r="BA382" i="3"/>
  <c r="BM382" i="3"/>
  <c r="BN382" i="3"/>
  <c r="BO382" i="3"/>
  <c r="BP382" i="3"/>
  <c r="BQ382" i="3"/>
  <c r="BR382" i="3"/>
  <c r="BS382" i="3"/>
  <c r="BT382" i="3"/>
  <c r="BL382" i="3"/>
  <c r="AZ382" i="3"/>
  <c r="BC383" i="3"/>
  <c r="BD383" i="3"/>
  <c r="BF383" i="3"/>
  <c r="BG383" i="3"/>
  <c r="BH383" i="3"/>
  <c r="BI383" i="3"/>
  <c r="BJ383" i="3"/>
  <c r="BK383" i="3"/>
  <c r="BA383" i="3"/>
  <c r="BM383" i="3"/>
  <c r="BN383" i="3"/>
  <c r="BO383" i="3"/>
  <c r="BP383" i="3"/>
  <c r="BQ383" i="3"/>
  <c r="BR383" i="3"/>
  <c r="BS383" i="3"/>
  <c r="BT383" i="3"/>
  <c r="BL383" i="3"/>
  <c r="AZ383" i="3"/>
  <c r="BC384" i="3"/>
  <c r="BD384" i="3"/>
  <c r="BF384" i="3"/>
  <c r="BG384" i="3"/>
  <c r="BH384" i="3"/>
  <c r="BI384" i="3"/>
  <c r="BJ384" i="3"/>
  <c r="BK384" i="3"/>
  <c r="BA384" i="3"/>
  <c r="BM384" i="3"/>
  <c r="BN384" i="3"/>
  <c r="BO384" i="3"/>
  <c r="BP384" i="3"/>
  <c r="BQ384" i="3"/>
  <c r="BR384" i="3"/>
  <c r="BS384" i="3"/>
  <c r="BT384" i="3"/>
  <c r="BL384" i="3"/>
  <c r="AZ384" i="3"/>
  <c r="BC385" i="3"/>
  <c r="BD385" i="3"/>
  <c r="BF385" i="3"/>
  <c r="BG385" i="3"/>
  <c r="BH385" i="3"/>
  <c r="BI385" i="3"/>
  <c r="BJ385" i="3"/>
  <c r="BK385" i="3"/>
  <c r="BA385" i="3"/>
  <c r="BM385" i="3"/>
  <c r="BN385" i="3"/>
  <c r="BO385" i="3"/>
  <c r="BP385" i="3"/>
  <c r="BQ385" i="3"/>
  <c r="BR385" i="3"/>
  <c r="BS385" i="3"/>
  <c r="BT385" i="3"/>
  <c r="BL385" i="3"/>
  <c r="AZ385" i="3"/>
  <c r="BC386" i="3"/>
  <c r="BD386" i="3"/>
  <c r="BF386" i="3"/>
  <c r="BG386" i="3"/>
  <c r="BH386" i="3"/>
  <c r="BI386" i="3"/>
  <c r="BJ386" i="3"/>
  <c r="BK386" i="3"/>
  <c r="BA386" i="3"/>
  <c r="BM386" i="3"/>
  <c r="BN386" i="3"/>
  <c r="BO386" i="3"/>
  <c r="BP386" i="3"/>
  <c r="BQ386" i="3"/>
  <c r="BR386" i="3"/>
  <c r="BS386" i="3"/>
  <c r="BT386" i="3"/>
  <c r="BL386" i="3"/>
  <c r="AZ386" i="3"/>
  <c r="BC387" i="3"/>
  <c r="BD387" i="3"/>
  <c r="BF387" i="3"/>
  <c r="BG387" i="3"/>
  <c r="BH387" i="3"/>
  <c r="BI387" i="3"/>
  <c r="BJ387" i="3"/>
  <c r="BK387" i="3"/>
  <c r="BA387" i="3"/>
  <c r="BM387" i="3"/>
  <c r="BN387" i="3"/>
  <c r="BO387" i="3"/>
  <c r="BP387" i="3"/>
  <c r="BQ387" i="3"/>
  <c r="BR387" i="3"/>
  <c r="BS387" i="3"/>
  <c r="BT387" i="3"/>
  <c r="BL387" i="3"/>
  <c r="AZ387" i="3"/>
  <c r="BC388" i="3"/>
  <c r="BD388" i="3"/>
  <c r="BF388" i="3"/>
  <c r="BG388" i="3"/>
  <c r="BH388" i="3"/>
  <c r="BI388" i="3"/>
  <c r="BJ388" i="3"/>
  <c r="BK388" i="3"/>
  <c r="BA388" i="3"/>
  <c r="BM388" i="3"/>
  <c r="BN388" i="3"/>
  <c r="BO388" i="3"/>
  <c r="BP388" i="3"/>
  <c r="BQ388" i="3"/>
  <c r="BR388" i="3"/>
  <c r="BS388" i="3"/>
  <c r="BT388" i="3"/>
  <c r="BL388" i="3"/>
  <c r="AZ388" i="3"/>
  <c r="BC389" i="3"/>
  <c r="BD389" i="3"/>
  <c r="BF389" i="3"/>
  <c r="BG389" i="3"/>
  <c r="BH389" i="3"/>
  <c r="BI389" i="3"/>
  <c r="BJ389" i="3"/>
  <c r="BK389" i="3"/>
  <c r="BA389" i="3"/>
  <c r="BM389" i="3"/>
  <c r="BN389" i="3"/>
  <c r="BO389" i="3"/>
  <c r="BP389" i="3"/>
  <c r="BQ389" i="3"/>
  <c r="BR389" i="3"/>
  <c r="BS389" i="3"/>
  <c r="BT389" i="3"/>
  <c r="BL389" i="3"/>
  <c r="AZ389" i="3"/>
  <c r="BC390" i="3"/>
  <c r="BD390" i="3"/>
  <c r="BF390" i="3"/>
  <c r="BG390" i="3"/>
  <c r="BH390" i="3"/>
  <c r="BI390" i="3"/>
  <c r="BJ390" i="3"/>
  <c r="BK390" i="3"/>
  <c r="BA390" i="3"/>
  <c r="BM390" i="3"/>
  <c r="BN390" i="3"/>
  <c r="BO390" i="3"/>
  <c r="BP390" i="3"/>
  <c r="BQ390" i="3"/>
  <c r="BR390" i="3"/>
  <c r="BS390" i="3"/>
  <c r="BT390" i="3"/>
  <c r="BL390" i="3"/>
  <c r="AZ390" i="3"/>
  <c r="BC391" i="3"/>
  <c r="BD391" i="3"/>
  <c r="BF391" i="3"/>
  <c r="BG391" i="3"/>
  <c r="BH391" i="3"/>
  <c r="BI391" i="3"/>
  <c r="BJ391" i="3"/>
  <c r="BK391" i="3"/>
  <c r="BA391" i="3"/>
  <c r="BM391" i="3"/>
  <c r="BN391" i="3"/>
  <c r="BO391" i="3"/>
  <c r="BP391" i="3"/>
  <c r="BQ391" i="3"/>
  <c r="BR391" i="3"/>
  <c r="BS391" i="3"/>
  <c r="BT391" i="3"/>
  <c r="BL391" i="3"/>
  <c r="AZ391" i="3"/>
  <c r="BC392" i="3"/>
  <c r="BD392" i="3"/>
  <c r="BF392" i="3"/>
  <c r="BG392" i="3"/>
  <c r="BH392" i="3"/>
  <c r="BI392" i="3"/>
  <c r="BJ392" i="3"/>
  <c r="BK392" i="3"/>
  <c r="BA392" i="3"/>
  <c r="BM392" i="3"/>
  <c r="BN392" i="3"/>
  <c r="BO392" i="3"/>
  <c r="BP392" i="3"/>
  <c r="BQ392" i="3"/>
  <c r="BR392" i="3"/>
  <c r="BS392" i="3"/>
  <c r="BT392" i="3"/>
  <c r="BL392" i="3"/>
  <c r="AZ392" i="3"/>
  <c r="BC393" i="3"/>
  <c r="BD393" i="3"/>
  <c r="BF393" i="3"/>
  <c r="BG393" i="3"/>
  <c r="BH393" i="3"/>
  <c r="BI393" i="3"/>
  <c r="BJ393" i="3"/>
  <c r="BK393" i="3"/>
  <c r="BA393" i="3"/>
  <c r="BM393" i="3"/>
  <c r="BN393" i="3"/>
  <c r="BO393" i="3"/>
  <c r="BP393" i="3"/>
  <c r="BQ393" i="3"/>
  <c r="BR393" i="3"/>
  <c r="BS393" i="3"/>
  <c r="BT393" i="3"/>
  <c r="BL393" i="3"/>
  <c r="AZ393" i="3"/>
  <c r="BC394" i="3"/>
  <c r="BD394" i="3"/>
  <c r="BF394" i="3"/>
  <c r="BG394" i="3"/>
  <c r="BH394" i="3"/>
  <c r="BI394" i="3"/>
  <c r="BJ394" i="3"/>
  <c r="BK394" i="3"/>
  <c r="BA394" i="3"/>
  <c r="BM394" i="3"/>
  <c r="BN394" i="3"/>
  <c r="BO394" i="3"/>
  <c r="BP394" i="3"/>
  <c r="BQ394" i="3"/>
  <c r="BR394" i="3"/>
  <c r="BS394" i="3"/>
  <c r="BT394" i="3"/>
  <c r="BL394" i="3"/>
  <c r="AZ394" i="3"/>
  <c r="BC395" i="3"/>
  <c r="BD395" i="3"/>
  <c r="BF395" i="3"/>
  <c r="BG395" i="3"/>
  <c r="BH395" i="3"/>
  <c r="BI395" i="3"/>
  <c r="BJ395" i="3"/>
  <c r="BK395" i="3"/>
  <c r="BA395" i="3"/>
  <c r="BM395" i="3"/>
  <c r="BN395" i="3"/>
  <c r="BO395" i="3"/>
  <c r="BP395" i="3"/>
  <c r="BQ395" i="3"/>
  <c r="BR395" i="3"/>
  <c r="BS395" i="3"/>
  <c r="BT395" i="3"/>
  <c r="BL395" i="3"/>
  <c r="AZ395" i="3"/>
  <c r="BC396" i="3"/>
  <c r="BD396" i="3"/>
  <c r="BF396" i="3"/>
  <c r="BG396" i="3"/>
  <c r="BH396" i="3"/>
  <c r="BI396" i="3"/>
  <c r="BJ396" i="3"/>
  <c r="BK396" i="3"/>
  <c r="BA396" i="3"/>
  <c r="BM396" i="3"/>
  <c r="BN396" i="3"/>
  <c r="BO396" i="3"/>
  <c r="BP396" i="3"/>
  <c r="BQ396" i="3"/>
  <c r="BR396" i="3"/>
  <c r="BS396" i="3"/>
  <c r="BT396" i="3"/>
  <c r="BL396" i="3"/>
  <c r="AZ396" i="3"/>
  <c r="BC397" i="3"/>
  <c r="BD397" i="3"/>
  <c r="BF397" i="3"/>
  <c r="BG397" i="3"/>
  <c r="BH397" i="3"/>
  <c r="BI397" i="3"/>
  <c r="BJ397" i="3"/>
  <c r="BK397" i="3"/>
  <c r="BA397" i="3"/>
  <c r="BM397" i="3"/>
  <c r="BN397" i="3"/>
  <c r="BO397" i="3"/>
  <c r="BP397" i="3"/>
  <c r="BQ397" i="3"/>
  <c r="BR397" i="3"/>
  <c r="BS397" i="3"/>
  <c r="BT397" i="3"/>
  <c r="BL397" i="3"/>
  <c r="AZ397" i="3"/>
  <c r="BC398" i="3"/>
  <c r="BD398" i="3"/>
  <c r="BF398" i="3"/>
  <c r="BG398" i="3"/>
  <c r="BH398" i="3"/>
  <c r="BI398" i="3"/>
  <c r="BJ398" i="3"/>
  <c r="BK398" i="3"/>
  <c r="BA398" i="3"/>
  <c r="BM398" i="3"/>
  <c r="BN398" i="3"/>
  <c r="BO398" i="3"/>
  <c r="BP398" i="3"/>
  <c r="BQ398" i="3"/>
  <c r="BR398" i="3"/>
  <c r="BS398" i="3"/>
  <c r="BT398" i="3"/>
  <c r="BL398" i="3"/>
  <c r="AZ398" i="3"/>
  <c r="BC399" i="3"/>
  <c r="BD399" i="3"/>
  <c r="BF399" i="3"/>
  <c r="BG399" i="3"/>
  <c r="BH399" i="3"/>
  <c r="BI399" i="3"/>
  <c r="BJ399" i="3"/>
  <c r="BK399" i="3"/>
  <c r="BA399" i="3"/>
  <c r="BM399" i="3"/>
  <c r="BN399" i="3"/>
  <c r="BO399" i="3"/>
  <c r="BP399" i="3"/>
  <c r="BQ399" i="3"/>
  <c r="BR399" i="3"/>
  <c r="BS399" i="3"/>
  <c r="BT399" i="3"/>
  <c r="BL399" i="3"/>
  <c r="AZ399" i="3"/>
  <c r="BC400" i="3"/>
  <c r="BD400" i="3"/>
  <c r="BF400" i="3"/>
  <c r="BG400" i="3"/>
  <c r="BH400" i="3"/>
  <c r="BI400" i="3"/>
  <c r="BJ400" i="3"/>
  <c r="BK400" i="3"/>
  <c r="BA400" i="3"/>
  <c r="BM400" i="3"/>
  <c r="BN400" i="3"/>
  <c r="BO400" i="3"/>
  <c r="BP400" i="3"/>
  <c r="BQ400" i="3"/>
  <c r="BR400" i="3"/>
  <c r="BS400" i="3"/>
  <c r="BT400" i="3"/>
  <c r="BL400" i="3"/>
  <c r="AZ400" i="3"/>
  <c r="BC401" i="3"/>
  <c r="BD401" i="3"/>
  <c r="BF401" i="3"/>
  <c r="BG401" i="3"/>
  <c r="BH401" i="3"/>
  <c r="BI401" i="3"/>
  <c r="BJ401" i="3"/>
  <c r="BK401" i="3"/>
  <c r="BA401" i="3"/>
  <c r="BM401" i="3"/>
  <c r="BN401" i="3"/>
  <c r="BO401" i="3"/>
  <c r="BP401" i="3"/>
  <c r="BQ401" i="3"/>
  <c r="BR401" i="3"/>
  <c r="BS401" i="3"/>
  <c r="BT401" i="3"/>
  <c r="BL401" i="3"/>
  <c r="AZ401" i="3"/>
  <c r="BC402" i="3"/>
  <c r="BD402" i="3"/>
  <c r="BF402" i="3"/>
  <c r="BG402" i="3"/>
  <c r="BH402" i="3"/>
  <c r="BI402" i="3"/>
  <c r="BJ402" i="3"/>
  <c r="BK402" i="3"/>
  <c r="BA402" i="3"/>
  <c r="BM402" i="3"/>
  <c r="BN402" i="3"/>
  <c r="BO402" i="3"/>
  <c r="BP402" i="3"/>
  <c r="BQ402" i="3"/>
  <c r="BR402" i="3"/>
  <c r="BS402" i="3"/>
  <c r="BT402" i="3"/>
  <c r="BL402" i="3"/>
  <c r="AZ402" i="3"/>
  <c r="BC403" i="3"/>
  <c r="BD403" i="3"/>
  <c r="BF403" i="3"/>
  <c r="BG403" i="3"/>
  <c r="BH403" i="3"/>
  <c r="BI403" i="3"/>
  <c r="BJ403" i="3"/>
  <c r="BK403" i="3"/>
  <c r="BA403" i="3"/>
  <c r="BM403" i="3"/>
  <c r="BN403" i="3"/>
  <c r="BO403" i="3"/>
  <c r="BP403" i="3"/>
  <c r="BQ403" i="3"/>
  <c r="BR403" i="3"/>
  <c r="BS403" i="3"/>
  <c r="BT403" i="3"/>
  <c r="BL403" i="3"/>
  <c r="AZ403" i="3"/>
  <c r="BC404" i="3"/>
  <c r="BD404" i="3"/>
  <c r="BF404" i="3"/>
  <c r="BG404" i="3"/>
  <c r="BH404" i="3"/>
  <c r="BI404" i="3"/>
  <c r="BJ404" i="3"/>
  <c r="BK404" i="3"/>
  <c r="BA404" i="3"/>
  <c r="BM404" i="3"/>
  <c r="BN404" i="3"/>
  <c r="BO404" i="3"/>
  <c r="BP404" i="3"/>
  <c r="BQ404" i="3"/>
  <c r="BR404" i="3"/>
  <c r="BS404" i="3"/>
  <c r="BT404" i="3"/>
  <c r="BL404" i="3"/>
  <c r="AZ404" i="3"/>
  <c r="BC405" i="3"/>
  <c r="BD405" i="3"/>
  <c r="BF405" i="3"/>
  <c r="BG405" i="3"/>
  <c r="BH405" i="3"/>
  <c r="BI405" i="3"/>
  <c r="BJ405" i="3"/>
  <c r="BK405" i="3"/>
  <c r="BA405" i="3"/>
  <c r="BM405" i="3"/>
  <c r="BN405" i="3"/>
  <c r="BO405" i="3"/>
  <c r="BP405" i="3"/>
  <c r="BQ405" i="3"/>
  <c r="BR405" i="3"/>
  <c r="BS405" i="3"/>
  <c r="BT405" i="3"/>
  <c r="BL405" i="3"/>
  <c r="AZ405" i="3"/>
  <c r="BC406" i="3"/>
  <c r="BD406" i="3"/>
  <c r="BF406" i="3"/>
  <c r="BG406" i="3"/>
  <c r="BH406" i="3"/>
  <c r="BI406" i="3"/>
  <c r="BJ406" i="3"/>
  <c r="BK406" i="3"/>
  <c r="BA406" i="3"/>
  <c r="BM406" i="3"/>
  <c r="BN406" i="3"/>
  <c r="BO406" i="3"/>
  <c r="BP406" i="3"/>
  <c r="BQ406" i="3"/>
  <c r="BR406" i="3"/>
  <c r="BS406" i="3"/>
  <c r="BT406" i="3"/>
  <c r="BL406" i="3"/>
  <c r="AZ406" i="3"/>
  <c r="BC407" i="3"/>
  <c r="BD407" i="3"/>
  <c r="BF407" i="3"/>
  <c r="BG407" i="3"/>
  <c r="BH407" i="3"/>
  <c r="BI407" i="3"/>
  <c r="BJ407" i="3"/>
  <c r="BK407" i="3"/>
  <c r="BA407" i="3"/>
  <c r="BM407" i="3"/>
  <c r="BN407" i="3"/>
  <c r="BO407" i="3"/>
  <c r="BP407" i="3"/>
  <c r="BQ407" i="3"/>
  <c r="BR407" i="3"/>
  <c r="BS407" i="3"/>
  <c r="BT407" i="3"/>
  <c r="BL407" i="3"/>
  <c r="AZ407" i="3"/>
  <c r="BC408" i="3"/>
  <c r="BD408" i="3"/>
  <c r="BF408" i="3"/>
  <c r="BG408" i="3"/>
  <c r="BH408" i="3"/>
  <c r="BI408" i="3"/>
  <c r="BJ408" i="3"/>
  <c r="BK408" i="3"/>
  <c r="BA408" i="3"/>
  <c r="BM408" i="3"/>
  <c r="BN408" i="3"/>
  <c r="BO408" i="3"/>
  <c r="BP408" i="3"/>
  <c r="BQ408" i="3"/>
  <c r="BR408" i="3"/>
  <c r="BS408" i="3"/>
  <c r="BT408" i="3"/>
  <c r="BL408" i="3"/>
  <c r="AZ408" i="3"/>
  <c r="BC409" i="3"/>
  <c r="BD409" i="3"/>
  <c r="BF409" i="3"/>
  <c r="BG409" i="3"/>
  <c r="BH409" i="3"/>
  <c r="BI409" i="3"/>
  <c r="BJ409" i="3"/>
  <c r="BK409" i="3"/>
  <c r="BA409" i="3"/>
  <c r="BM409" i="3"/>
  <c r="BN409" i="3"/>
  <c r="BO409" i="3"/>
  <c r="BP409" i="3"/>
  <c r="BQ409" i="3"/>
  <c r="BR409" i="3"/>
  <c r="BS409" i="3"/>
  <c r="BT409" i="3"/>
  <c r="BL409" i="3"/>
  <c r="AZ409" i="3"/>
  <c r="BC410" i="3"/>
  <c r="BD410" i="3"/>
  <c r="BF410" i="3"/>
  <c r="BG410" i="3"/>
  <c r="BH410" i="3"/>
  <c r="BI410" i="3"/>
  <c r="BJ410" i="3"/>
  <c r="BK410" i="3"/>
  <c r="BA410" i="3"/>
  <c r="BM410" i="3"/>
  <c r="BN410" i="3"/>
  <c r="BO410" i="3"/>
  <c r="BP410" i="3"/>
  <c r="BQ410" i="3"/>
  <c r="BR410" i="3"/>
  <c r="BS410" i="3"/>
  <c r="BT410" i="3"/>
  <c r="BL410" i="3"/>
  <c r="AZ410" i="3"/>
  <c r="BC411" i="3"/>
  <c r="BD411" i="3"/>
  <c r="BF411" i="3"/>
  <c r="BG411" i="3"/>
  <c r="BH411" i="3"/>
  <c r="BI411" i="3"/>
  <c r="BJ411" i="3"/>
  <c r="BK411" i="3"/>
  <c r="BA411" i="3"/>
  <c r="BM411" i="3"/>
  <c r="BN411" i="3"/>
  <c r="BO411" i="3"/>
  <c r="BP411" i="3"/>
  <c r="BQ411" i="3"/>
  <c r="BR411" i="3"/>
  <c r="BS411" i="3"/>
  <c r="BT411" i="3"/>
  <c r="BL411" i="3"/>
  <c r="AZ411" i="3"/>
  <c r="BC412" i="3"/>
  <c r="BD412" i="3"/>
  <c r="BF412" i="3"/>
  <c r="BG412" i="3"/>
  <c r="BH412" i="3"/>
  <c r="BI412" i="3"/>
  <c r="BJ412" i="3"/>
  <c r="BK412" i="3"/>
  <c r="BA412" i="3"/>
  <c r="BM412" i="3"/>
  <c r="BN412" i="3"/>
  <c r="BO412" i="3"/>
  <c r="BP412" i="3"/>
  <c r="BQ412" i="3"/>
  <c r="BR412" i="3"/>
  <c r="BS412" i="3"/>
  <c r="BT412" i="3"/>
  <c r="BL412" i="3"/>
  <c r="AZ412" i="3"/>
  <c r="BC413" i="3"/>
  <c r="BD413" i="3"/>
  <c r="BF413" i="3"/>
  <c r="BG413" i="3"/>
  <c r="BH413" i="3"/>
  <c r="BI413" i="3"/>
  <c r="BJ413" i="3"/>
  <c r="BK413" i="3"/>
  <c r="BA413" i="3"/>
  <c r="BM413" i="3"/>
  <c r="BN413" i="3"/>
  <c r="BO413" i="3"/>
  <c r="BP413" i="3"/>
  <c r="BQ413" i="3"/>
  <c r="BR413" i="3"/>
  <c r="BS413" i="3"/>
  <c r="BT413" i="3"/>
  <c r="BL413" i="3"/>
  <c r="AZ413" i="3"/>
  <c r="BC414" i="3"/>
  <c r="BD414" i="3"/>
  <c r="BF414" i="3"/>
  <c r="BG414" i="3"/>
  <c r="BH414" i="3"/>
  <c r="BI414" i="3"/>
  <c r="BJ414" i="3"/>
  <c r="BK414" i="3"/>
  <c r="BA414" i="3"/>
  <c r="BM414" i="3"/>
  <c r="BN414" i="3"/>
  <c r="BO414" i="3"/>
  <c r="BP414" i="3"/>
  <c r="BQ414" i="3"/>
  <c r="BR414" i="3"/>
  <c r="BS414" i="3"/>
  <c r="BT414" i="3"/>
  <c r="BL414" i="3"/>
  <c r="AZ414" i="3"/>
  <c r="BC415" i="3"/>
  <c r="BD415" i="3"/>
  <c r="BF415" i="3"/>
  <c r="BG415" i="3"/>
  <c r="BH415" i="3"/>
  <c r="BI415" i="3"/>
  <c r="BJ415" i="3"/>
  <c r="BK415" i="3"/>
  <c r="BA415" i="3"/>
  <c r="BM415" i="3"/>
  <c r="BN415" i="3"/>
  <c r="BO415" i="3"/>
  <c r="BP415" i="3"/>
  <c r="BQ415" i="3"/>
  <c r="BR415" i="3"/>
  <c r="BS415" i="3"/>
  <c r="BT415" i="3"/>
  <c r="BL415" i="3"/>
  <c r="AZ415" i="3"/>
  <c r="BC416" i="3"/>
  <c r="BD416" i="3"/>
  <c r="BF416" i="3"/>
  <c r="BG416" i="3"/>
  <c r="BH416" i="3"/>
  <c r="BI416" i="3"/>
  <c r="BJ416" i="3"/>
  <c r="BK416" i="3"/>
  <c r="BA416" i="3"/>
  <c r="BM416" i="3"/>
  <c r="BN416" i="3"/>
  <c r="BO416" i="3"/>
  <c r="BP416" i="3"/>
  <c r="BQ416" i="3"/>
  <c r="BR416" i="3"/>
  <c r="BS416" i="3"/>
  <c r="BT416" i="3"/>
  <c r="BL416" i="3"/>
  <c r="AZ416" i="3"/>
  <c r="BC417" i="3"/>
  <c r="BD417" i="3"/>
  <c r="BF417" i="3"/>
  <c r="BG417" i="3"/>
  <c r="BH417" i="3"/>
  <c r="BI417" i="3"/>
  <c r="BJ417" i="3"/>
  <c r="BK417" i="3"/>
  <c r="BA417" i="3"/>
  <c r="BM417" i="3"/>
  <c r="BN417" i="3"/>
  <c r="BO417" i="3"/>
  <c r="BP417" i="3"/>
  <c r="BQ417" i="3"/>
  <c r="BR417" i="3"/>
  <c r="BS417" i="3"/>
  <c r="BT417" i="3"/>
  <c r="BL417" i="3"/>
  <c r="AZ417" i="3"/>
  <c r="BC418" i="3"/>
  <c r="BD418" i="3"/>
  <c r="BF418" i="3"/>
  <c r="BG418" i="3"/>
  <c r="BH418" i="3"/>
  <c r="BI418" i="3"/>
  <c r="BJ418" i="3"/>
  <c r="BK418" i="3"/>
  <c r="BA418" i="3"/>
  <c r="BM418" i="3"/>
  <c r="BN418" i="3"/>
  <c r="BO418" i="3"/>
  <c r="BP418" i="3"/>
  <c r="BQ418" i="3"/>
  <c r="BR418" i="3"/>
  <c r="BS418" i="3"/>
  <c r="BT418" i="3"/>
  <c r="BL418" i="3"/>
  <c r="AZ418" i="3"/>
  <c r="BC419" i="3"/>
  <c r="BD419" i="3"/>
  <c r="BF419" i="3"/>
  <c r="BG419" i="3"/>
  <c r="BH419" i="3"/>
  <c r="BI419" i="3"/>
  <c r="BJ419" i="3"/>
  <c r="BK419" i="3"/>
  <c r="BA419" i="3"/>
  <c r="BM419" i="3"/>
  <c r="BN419" i="3"/>
  <c r="BO419" i="3"/>
  <c r="BP419" i="3"/>
  <c r="BQ419" i="3"/>
  <c r="BR419" i="3"/>
  <c r="BS419" i="3"/>
  <c r="BT419" i="3"/>
  <c r="BL419" i="3"/>
  <c r="AZ419" i="3"/>
  <c r="BC420" i="3"/>
  <c r="BD420" i="3"/>
  <c r="BF420" i="3"/>
  <c r="BG420" i="3"/>
  <c r="BH420" i="3"/>
  <c r="BI420" i="3"/>
  <c r="BJ420" i="3"/>
  <c r="BK420" i="3"/>
  <c r="BA420" i="3"/>
  <c r="BM420" i="3"/>
  <c r="BN420" i="3"/>
  <c r="BO420" i="3"/>
  <c r="BP420" i="3"/>
  <c r="BQ420" i="3"/>
  <c r="BR420" i="3"/>
  <c r="BS420" i="3"/>
  <c r="BT420" i="3"/>
  <c r="BL420" i="3"/>
  <c r="AZ420" i="3"/>
  <c r="BC421" i="3"/>
  <c r="BD421" i="3"/>
  <c r="BF421" i="3"/>
  <c r="BG421" i="3"/>
  <c r="BH421" i="3"/>
  <c r="BI421" i="3"/>
  <c r="BJ421" i="3"/>
  <c r="BK421" i="3"/>
  <c r="BA421" i="3"/>
  <c r="BM421" i="3"/>
  <c r="BN421" i="3"/>
  <c r="BO421" i="3"/>
  <c r="BP421" i="3"/>
  <c r="BQ421" i="3"/>
  <c r="BR421" i="3"/>
  <c r="BS421" i="3"/>
  <c r="BT421" i="3"/>
  <c r="BL421" i="3"/>
  <c r="AZ421" i="3"/>
  <c r="BC422" i="3"/>
  <c r="BD422" i="3"/>
  <c r="BF422" i="3"/>
  <c r="BG422" i="3"/>
  <c r="BH422" i="3"/>
  <c r="BI422" i="3"/>
  <c r="BJ422" i="3"/>
  <c r="BK422" i="3"/>
  <c r="BA422" i="3"/>
  <c r="BM422" i="3"/>
  <c r="BN422" i="3"/>
  <c r="BO422" i="3"/>
  <c r="BP422" i="3"/>
  <c r="BQ422" i="3"/>
  <c r="BR422" i="3"/>
  <c r="BS422" i="3"/>
  <c r="BT422" i="3"/>
  <c r="BL422" i="3"/>
  <c r="AZ422" i="3"/>
  <c r="BC423" i="3"/>
  <c r="BD423" i="3"/>
  <c r="BF423" i="3"/>
  <c r="BG423" i="3"/>
  <c r="BH423" i="3"/>
  <c r="BI423" i="3"/>
  <c r="BJ423" i="3"/>
  <c r="BK423" i="3"/>
  <c r="BA423" i="3"/>
  <c r="BM423" i="3"/>
  <c r="BN423" i="3"/>
  <c r="BO423" i="3"/>
  <c r="BP423" i="3"/>
  <c r="BQ423" i="3"/>
  <c r="BR423" i="3"/>
  <c r="BS423" i="3"/>
  <c r="BT423" i="3"/>
  <c r="BL423" i="3"/>
  <c r="AZ423" i="3"/>
  <c r="BC424" i="3"/>
  <c r="BD424" i="3"/>
  <c r="BF424" i="3"/>
  <c r="BG424" i="3"/>
  <c r="BH424" i="3"/>
  <c r="BI424" i="3"/>
  <c r="BJ424" i="3"/>
  <c r="BK424" i="3"/>
  <c r="BA424" i="3"/>
  <c r="BM424" i="3"/>
  <c r="BN424" i="3"/>
  <c r="BO424" i="3"/>
  <c r="BP424" i="3"/>
  <c r="BQ424" i="3"/>
  <c r="BR424" i="3"/>
  <c r="BS424" i="3"/>
  <c r="BT424" i="3"/>
  <c r="BL424" i="3"/>
  <c r="AZ424" i="3"/>
  <c r="BC425" i="3"/>
  <c r="BD425" i="3"/>
  <c r="BF425" i="3"/>
  <c r="BG425" i="3"/>
  <c r="BH425" i="3"/>
  <c r="BI425" i="3"/>
  <c r="BJ425" i="3"/>
  <c r="BK425" i="3"/>
  <c r="BA425" i="3"/>
  <c r="BM425" i="3"/>
  <c r="BN425" i="3"/>
  <c r="BO425" i="3"/>
  <c r="BP425" i="3"/>
  <c r="BQ425" i="3"/>
  <c r="BR425" i="3"/>
  <c r="BS425" i="3"/>
  <c r="BT425" i="3"/>
  <c r="BL425" i="3"/>
  <c r="AZ425" i="3"/>
  <c r="BC426" i="3"/>
  <c r="BD426" i="3"/>
  <c r="BF426" i="3"/>
  <c r="BG426" i="3"/>
  <c r="BH426" i="3"/>
  <c r="BI426" i="3"/>
  <c r="BJ426" i="3"/>
  <c r="BK426" i="3"/>
  <c r="BA426" i="3"/>
  <c r="BM426" i="3"/>
  <c r="BN426" i="3"/>
  <c r="BO426" i="3"/>
  <c r="BP426" i="3"/>
  <c r="BQ426" i="3"/>
  <c r="BR426" i="3"/>
  <c r="BS426" i="3"/>
  <c r="BT426" i="3"/>
  <c r="BL426" i="3"/>
  <c r="AZ426" i="3"/>
  <c r="BC427" i="3"/>
  <c r="BD427" i="3"/>
  <c r="BF427" i="3"/>
  <c r="BG427" i="3"/>
  <c r="BH427" i="3"/>
  <c r="BI427" i="3"/>
  <c r="BJ427" i="3"/>
  <c r="BK427" i="3"/>
  <c r="BA427" i="3"/>
  <c r="BM427" i="3"/>
  <c r="BN427" i="3"/>
  <c r="BO427" i="3"/>
  <c r="BP427" i="3"/>
  <c r="BQ427" i="3"/>
  <c r="BR427" i="3"/>
  <c r="BS427" i="3"/>
  <c r="BT427" i="3"/>
  <c r="BL427" i="3"/>
  <c r="AZ427" i="3"/>
  <c r="BC428" i="3"/>
  <c r="BD428" i="3"/>
  <c r="BF428" i="3"/>
  <c r="BG428" i="3"/>
  <c r="BH428" i="3"/>
  <c r="BI428" i="3"/>
  <c r="BJ428" i="3"/>
  <c r="BK428" i="3"/>
  <c r="BA428" i="3"/>
  <c r="BM428" i="3"/>
  <c r="BN428" i="3"/>
  <c r="BO428" i="3"/>
  <c r="BP428" i="3"/>
  <c r="BQ428" i="3"/>
  <c r="BR428" i="3"/>
  <c r="BS428" i="3"/>
  <c r="BT428" i="3"/>
  <c r="BL428" i="3"/>
  <c r="AZ428" i="3"/>
  <c r="BC429" i="3"/>
  <c r="BD429" i="3"/>
  <c r="BF429" i="3"/>
  <c r="BG429" i="3"/>
  <c r="BH429" i="3"/>
  <c r="BI429" i="3"/>
  <c r="BJ429" i="3"/>
  <c r="BK429" i="3"/>
  <c r="BA429" i="3"/>
  <c r="BM429" i="3"/>
  <c r="BN429" i="3"/>
  <c r="BO429" i="3"/>
  <c r="BP429" i="3"/>
  <c r="BQ429" i="3"/>
  <c r="BR429" i="3"/>
  <c r="BS429" i="3"/>
  <c r="BT429" i="3"/>
  <c r="BL429" i="3"/>
  <c r="AZ429" i="3"/>
  <c r="BC430" i="3"/>
  <c r="BD430" i="3"/>
  <c r="BF430" i="3"/>
  <c r="BG430" i="3"/>
  <c r="BH430" i="3"/>
  <c r="BI430" i="3"/>
  <c r="BJ430" i="3"/>
  <c r="BK430" i="3"/>
  <c r="BA430" i="3"/>
  <c r="BM430" i="3"/>
  <c r="BN430" i="3"/>
  <c r="BO430" i="3"/>
  <c r="BP430" i="3"/>
  <c r="BQ430" i="3"/>
  <c r="BR430" i="3"/>
  <c r="BS430" i="3"/>
  <c r="BT430" i="3"/>
  <c r="BL430" i="3"/>
  <c r="AZ430" i="3"/>
  <c r="BC431" i="3"/>
  <c r="BD431" i="3"/>
  <c r="BF431" i="3"/>
  <c r="BG431" i="3"/>
  <c r="BH431" i="3"/>
  <c r="BI431" i="3"/>
  <c r="BJ431" i="3"/>
  <c r="BK431" i="3"/>
  <c r="BA431" i="3"/>
  <c r="BM431" i="3"/>
  <c r="BN431" i="3"/>
  <c r="BO431" i="3"/>
  <c r="BP431" i="3"/>
  <c r="BQ431" i="3"/>
  <c r="BR431" i="3"/>
  <c r="BS431" i="3"/>
  <c r="BT431" i="3"/>
  <c r="BL431" i="3"/>
  <c r="AZ431" i="3"/>
  <c r="BC432" i="3"/>
  <c r="BD432" i="3"/>
  <c r="BF432" i="3"/>
  <c r="BG432" i="3"/>
  <c r="BH432" i="3"/>
  <c r="BI432" i="3"/>
  <c r="BJ432" i="3"/>
  <c r="BK432" i="3"/>
  <c r="BA432" i="3"/>
  <c r="BM432" i="3"/>
  <c r="BN432" i="3"/>
  <c r="BO432" i="3"/>
  <c r="BP432" i="3"/>
  <c r="BQ432" i="3"/>
  <c r="BR432" i="3"/>
  <c r="BS432" i="3"/>
  <c r="BT432" i="3"/>
  <c r="BL432" i="3"/>
  <c r="AZ432" i="3"/>
  <c r="BC433" i="3"/>
  <c r="BD433" i="3"/>
  <c r="BF433" i="3"/>
  <c r="BG433" i="3"/>
  <c r="BH433" i="3"/>
  <c r="BI433" i="3"/>
  <c r="BJ433" i="3"/>
  <c r="BK433" i="3"/>
  <c r="BA433" i="3"/>
  <c r="BM433" i="3"/>
  <c r="BN433" i="3"/>
  <c r="BO433" i="3"/>
  <c r="BP433" i="3"/>
  <c r="BQ433" i="3"/>
  <c r="BR433" i="3"/>
  <c r="BS433" i="3"/>
  <c r="BT433" i="3"/>
  <c r="BL433" i="3"/>
  <c r="AZ433" i="3"/>
  <c r="BC434" i="3"/>
  <c r="BD434" i="3"/>
  <c r="BF434" i="3"/>
  <c r="BG434" i="3"/>
  <c r="BH434" i="3"/>
  <c r="BI434" i="3"/>
  <c r="BJ434" i="3"/>
  <c r="BK434" i="3"/>
  <c r="BA434" i="3"/>
  <c r="BM434" i="3"/>
  <c r="BN434" i="3"/>
  <c r="BO434" i="3"/>
  <c r="BP434" i="3"/>
  <c r="BQ434" i="3"/>
  <c r="BR434" i="3"/>
  <c r="BS434" i="3"/>
  <c r="BT434" i="3"/>
  <c r="BL434" i="3"/>
  <c r="AZ434" i="3"/>
  <c r="BC435" i="3"/>
  <c r="BD435" i="3"/>
  <c r="BF435" i="3"/>
  <c r="BG435" i="3"/>
  <c r="BH435" i="3"/>
  <c r="BI435" i="3"/>
  <c r="BJ435" i="3"/>
  <c r="BK435" i="3"/>
  <c r="BA435" i="3"/>
  <c r="BM435" i="3"/>
  <c r="BN435" i="3"/>
  <c r="BO435" i="3"/>
  <c r="BP435" i="3"/>
  <c r="BQ435" i="3"/>
  <c r="BR435" i="3"/>
  <c r="BS435" i="3"/>
  <c r="BT435" i="3"/>
  <c r="BL435" i="3"/>
  <c r="AZ435" i="3"/>
  <c r="BC436" i="3"/>
  <c r="BD436" i="3"/>
  <c r="BF436" i="3"/>
  <c r="BG436" i="3"/>
  <c r="BH436" i="3"/>
  <c r="BI436" i="3"/>
  <c r="BJ436" i="3"/>
  <c r="BK436" i="3"/>
  <c r="BA436" i="3"/>
  <c r="BM436" i="3"/>
  <c r="BN436" i="3"/>
  <c r="BO436" i="3"/>
  <c r="BP436" i="3"/>
  <c r="BQ436" i="3"/>
  <c r="BR436" i="3"/>
  <c r="BS436" i="3"/>
  <c r="BT436" i="3"/>
  <c r="BL436" i="3"/>
  <c r="AZ436" i="3"/>
  <c r="BC437" i="3"/>
  <c r="BD437" i="3"/>
  <c r="BF437" i="3"/>
  <c r="BG437" i="3"/>
  <c r="BH437" i="3"/>
  <c r="BI437" i="3"/>
  <c r="BJ437" i="3"/>
  <c r="BK437" i="3"/>
  <c r="BA437" i="3"/>
  <c r="BM437" i="3"/>
  <c r="BN437" i="3"/>
  <c r="BO437" i="3"/>
  <c r="BP437" i="3"/>
  <c r="BQ437" i="3"/>
  <c r="BR437" i="3"/>
  <c r="BS437" i="3"/>
  <c r="BT437" i="3"/>
  <c r="BL437" i="3"/>
  <c r="AZ437" i="3"/>
  <c r="BC438" i="3"/>
  <c r="BD438" i="3"/>
  <c r="BF438" i="3"/>
  <c r="BG438" i="3"/>
  <c r="BH438" i="3"/>
  <c r="BI438" i="3"/>
  <c r="BJ438" i="3"/>
  <c r="BK438" i="3"/>
  <c r="BA438" i="3"/>
  <c r="BM438" i="3"/>
  <c r="BN438" i="3"/>
  <c r="BO438" i="3"/>
  <c r="BP438" i="3"/>
  <c r="BQ438" i="3"/>
  <c r="BR438" i="3"/>
  <c r="BS438" i="3"/>
  <c r="BT438" i="3"/>
  <c r="BL438" i="3"/>
  <c r="AZ438" i="3"/>
  <c r="BC439" i="3"/>
  <c r="BD439" i="3"/>
  <c r="BF439" i="3"/>
  <c r="BG439" i="3"/>
  <c r="BH439" i="3"/>
  <c r="BI439" i="3"/>
  <c r="BJ439" i="3"/>
  <c r="BK439" i="3"/>
  <c r="BA439" i="3"/>
  <c r="BM439" i="3"/>
  <c r="BN439" i="3"/>
  <c r="BO439" i="3"/>
  <c r="BP439" i="3"/>
  <c r="BQ439" i="3"/>
  <c r="BR439" i="3"/>
  <c r="BS439" i="3"/>
  <c r="BT439" i="3"/>
  <c r="BL439" i="3"/>
  <c r="AZ439" i="3"/>
  <c r="BC440" i="3"/>
  <c r="BD440" i="3"/>
  <c r="BF440" i="3"/>
  <c r="BG440" i="3"/>
  <c r="BH440" i="3"/>
  <c r="BI440" i="3"/>
  <c r="BJ440" i="3"/>
  <c r="BK440" i="3"/>
  <c r="BA440" i="3"/>
  <c r="BM440" i="3"/>
  <c r="BN440" i="3"/>
  <c r="BO440" i="3"/>
  <c r="BP440" i="3"/>
  <c r="BQ440" i="3"/>
  <c r="BR440" i="3"/>
  <c r="BS440" i="3"/>
  <c r="BT440" i="3"/>
  <c r="BL440" i="3"/>
  <c r="AZ440" i="3"/>
  <c r="BC441" i="3"/>
  <c r="BD441" i="3"/>
  <c r="BF441" i="3"/>
  <c r="BG441" i="3"/>
  <c r="BH441" i="3"/>
  <c r="BI441" i="3"/>
  <c r="BJ441" i="3"/>
  <c r="BK441" i="3"/>
  <c r="BA441" i="3"/>
  <c r="BM441" i="3"/>
  <c r="BN441" i="3"/>
  <c r="BO441" i="3"/>
  <c r="BP441" i="3"/>
  <c r="BQ441" i="3"/>
  <c r="BR441" i="3"/>
  <c r="BS441" i="3"/>
  <c r="BT441" i="3"/>
  <c r="BL441" i="3"/>
  <c r="AZ441" i="3"/>
  <c r="BC442" i="3"/>
  <c r="BD442" i="3"/>
  <c r="BF442" i="3"/>
  <c r="BG442" i="3"/>
  <c r="BH442" i="3"/>
  <c r="BI442" i="3"/>
  <c r="BJ442" i="3"/>
  <c r="BK442" i="3"/>
  <c r="BA442" i="3"/>
  <c r="BM442" i="3"/>
  <c r="BN442" i="3"/>
  <c r="BO442" i="3"/>
  <c r="BP442" i="3"/>
  <c r="BQ442" i="3"/>
  <c r="BR442" i="3"/>
  <c r="BS442" i="3"/>
  <c r="BT442" i="3"/>
  <c r="BL442" i="3"/>
  <c r="AZ442" i="3"/>
  <c r="BC443" i="3"/>
  <c r="BD443" i="3"/>
  <c r="BF443" i="3"/>
  <c r="BG443" i="3"/>
  <c r="BH443" i="3"/>
  <c r="BI443" i="3"/>
  <c r="BJ443" i="3"/>
  <c r="BK443" i="3"/>
  <c r="BA443" i="3"/>
  <c r="BM443" i="3"/>
  <c r="BN443" i="3"/>
  <c r="BO443" i="3"/>
  <c r="BP443" i="3"/>
  <c r="BQ443" i="3"/>
  <c r="BR443" i="3"/>
  <c r="BS443" i="3"/>
  <c r="BT443" i="3"/>
  <c r="BL443" i="3"/>
  <c r="AZ443" i="3"/>
  <c r="BC444" i="3"/>
  <c r="BD444" i="3"/>
  <c r="BF444" i="3"/>
  <c r="BG444" i="3"/>
  <c r="BH444" i="3"/>
  <c r="BI444" i="3"/>
  <c r="BJ444" i="3"/>
  <c r="BK444" i="3"/>
  <c r="BA444" i="3"/>
  <c r="BM444" i="3"/>
  <c r="BN444" i="3"/>
  <c r="BO444" i="3"/>
  <c r="BP444" i="3"/>
  <c r="BQ444" i="3"/>
  <c r="BR444" i="3"/>
  <c r="BS444" i="3"/>
  <c r="BT444" i="3"/>
  <c r="BL444" i="3"/>
  <c r="AZ444" i="3"/>
  <c r="BC445" i="3"/>
  <c r="BD445" i="3"/>
  <c r="BF445" i="3"/>
  <c r="BG445" i="3"/>
  <c r="BH445" i="3"/>
  <c r="BI445" i="3"/>
  <c r="BJ445" i="3"/>
  <c r="BK445" i="3"/>
  <c r="BA445" i="3"/>
  <c r="BM445" i="3"/>
  <c r="BN445" i="3"/>
  <c r="BO445" i="3"/>
  <c r="BP445" i="3"/>
  <c r="BQ445" i="3"/>
  <c r="BR445" i="3"/>
  <c r="BS445" i="3"/>
  <c r="BT445" i="3"/>
  <c r="BL445" i="3"/>
  <c r="AZ445" i="3"/>
  <c r="BC446" i="3"/>
  <c r="BD446" i="3"/>
  <c r="BF446" i="3"/>
  <c r="BG446" i="3"/>
  <c r="BH446" i="3"/>
  <c r="BI446" i="3"/>
  <c r="BJ446" i="3"/>
  <c r="BK446" i="3"/>
  <c r="BA446" i="3"/>
  <c r="BM446" i="3"/>
  <c r="BN446" i="3"/>
  <c r="BO446" i="3"/>
  <c r="BP446" i="3"/>
  <c r="BQ446" i="3"/>
  <c r="BR446" i="3"/>
  <c r="BS446" i="3"/>
  <c r="BT446" i="3"/>
  <c r="BL446" i="3"/>
  <c r="AZ446" i="3"/>
  <c r="BC447" i="3"/>
  <c r="BD447" i="3"/>
  <c r="BF447" i="3"/>
  <c r="BG447" i="3"/>
  <c r="BH447" i="3"/>
  <c r="BI447" i="3"/>
  <c r="BJ447" i="3"/>
  <c r="BK447" i="3"/>
  <c r="BA447" i="3"/>
  <c r="BM447" i="3"/>
  <c r="BN447" i="3"/>
  <c r="BO447" i="3"/>
  <c r="BP447" i="3"/>
  <c r="BQ447" i="3"/>
  <c r="BR447" i="3"/>
  <c r="BS447" i="3"/>
  <c r="BT447" i="3"/>
  <c r="BL447" i="3"/>
  <c r="AZ447" i="3"/>
  <c r="BC448" i="3"/>
  <c r="BD448" i="3"/>
  <c r="BF448" i="3"/>
  <c r="BG448" i="3"/>
  <c r="BH448" i="3"/>
  <c r="BI448" i="3"/>
  <c r="BJ448" i="3"/>
  <c r="BK448" i="3"/>
  <c r="BA448" i="3"/>
  <c r="BM448" i="3"/>
  <c r="BN448" i="3"/>
  <c r="BO448" i="3"/>
  <c r="BP448" i="3"/>
  <c r="BQ448" i="3"/>
  <c r="BR448" i="3"/>
  <c r="BS448" i="3"/>
  <c r="BT448" i="3"/>
  <c r="BL448" i="3"/>
  <c r="AZ448" i="3"/>
  <c r="BC449" i="3"/>
  <c r="BD449" i="3"/>
  <c r="BF449" i="3"/>
  <c r="BG449" i="3"/>
  <c r="BH449" i="3"/>
  <c r="BI449" i="3"/>
  <c r="BJ449" i="3"/>
  <c r="BK449" i="3"/>
  <c r="BA449" i="3"/>
  <c r="BM449" i="3"/>
  <c r="BN449" i="3"/>
  <c r="BO449" i="3"/>
  <c r="BP449" i="3"/>
  <c r="BQ449" i="3"/>
  <c r="BR449" i="3"/>
  <c r="BS449" i="3"/>
  <c r="BT449" i="3"/>
  <c r="BL449" i="3"/>
  <c r="AZ449" i="3"/>
  <c r="BC450" i="3"/>
  <c r="BD450" i="3"/>
  <c r="BF450" i="3"/>
  <c r="BG450" i="3"/>
  <c r="BH450" i="3"/>
  <c r="BI450" i="3"/>
  <c r="BJ450" i="3"/>
  <c r="BK450" i="3"/>
  <c r="BA450" i="3"/>
  <c r="BM450" i="3"/>
  <c r="BN450" i="3"/>
  <c r="BO450" i="3"/>
  <c r="BP450" i="3"/>
  <c r="BQ450" i="3"/>
  <c r="BR450" i="3"/>
  <c r="BS450" i="3"/>
  <c r="BT450" i="3"/>
  <c r="BL450" i="3"/>
  <c r="AZ450" i="3"/>
  <c r="BC451" i="3"/>
  <c r="BD451" i="3"/>
  <c r="BF451" i="3"/>
  <c r="BG451" i="3"/>
  <c r="BH451" i="3"/>
  <c r="BI451" i="3"/>
  <c r="BJ451" i="3"/>
  <c r="BK451" i="3"/>
  <c r="BA451" i="3"/>
  <c r="BM451" i="3"/>
  <c r="BN451" i="3"/>
  <c r="BO451" i="3"/>
  <c r="BP451" i="3"/>
  <c r="BQ451" i="3"/>
  <c r="BR451" i="3"/>
  <c r="BS451" i="3"/>
  <c r="BT451" i="3"/>
  <c r="BL451" i="3"/>
  <c r="AZ451" i="3"/>
  <c r="BC452" i="3"/>
  <c r="BD452" i="3"/>
  <c r="BF452" i="3"/>
  <c r="BG452" i="3"/>
  <c r="BH452" i="3"/>
  <c r="BI452" i="3"/>
  <c r="BJ452" i="3"/>
  <c r="BK452" i="3"/>
  <c r="BA452" i="3"/>
  <c r="BM452" i="3"/>
  <c r="BN452" i="3"/>
  <c r="BO452" i="3"/>
  <c r="BP452" i="3"/>
  <c r="BQ452" i="3"/>
  <c r="BR452" i="3"/>
  <c r="BS452" i="3"/>
  <c r="BT452" i="3"/>
  <c r="BL452" i="3"/>
  <c r="AZ452" i="3"/>
  <c r="BC453" i="3"/>
  <c r="BD453" i="3"/>
  <c r="BF453" i="3"/>
  <c r="BG453" i="3"/>
  <c r="BH453" i="3"/>
  <c r="BI453" i="3"/>
  <c r="BJ453" i="3"/>
  <c r="BK453" i="3"/>
  <c r="BA453" i="3"/>
  <c r="BM453" i="3"/>
  <c r="BN453" i="3"/>
  <c r="BO453" i="3"/>
  <c r="BP453" i="3"/>
  <c r="BQ453" i="3"/>
  <c r="BR453" i="3"/>
  <c r="BS453" i="3"/>
  <c r="BT453" i="3"/>
  <c r="BL453" i="3"/>
  <c r="AZ453" i="3"/>
  <c r="BC454" i="3"/>
  <c r="BD454" i="3"/>
  <c r="BF454" i="3"/>
  <c r="BG454" i="3"/>
  <c r="BH454" i="3"/>
  <c r="BI454" i="3"/>
  <c r="BJ454" i="3"/>
  <c r="BK454" i="3"/>
  <c r="BA454" i="3"/>
  <c r="BM454" i="3"/>
  <c r="BN454" i="3"/>
  <c r="BO454" i="3"/>
  <c r="BP454" i="3"/>
  <c r="BQ454" i="3"/>
  <c r="BR454" i="3"/>
  <c r="BS454" i="3"/>
  <c r="BT454" i="3"/>
  <c r="BL454" i="3"/>
  <c r="AZ454" i="3"/>
  <c r="BC455" i="3"/>
  <c r="BD455" i="3"/>
  <c r="BF455" i="3"/>
  <c r="BG455" i="3"/>
  <c r="BH455" i="3"/>
  <c r="BI455" i="3"/>
  <c r="BJ455" i="3"/>
  <c r="BK455" i="3"/>
  <c r="BA455" i="3"/>
  <c r="BM455" i="3"/>
  <c r="BN455" i="3"/>
  <c r="BO455" i="3"/>
  <c r="BP455" i="3"/>
  <c r="BQ455" i="3"/>
  <c r="BR455" i="3"/>
  <c r="BS455" i="3"/>
  <c r="BT455" i="3"/>
  <c r="BL455" i="3"/>
  <c r="AZ455" i="3"/>
  <c r="BC456" i="3"/>
  <c r="BD456" i="3"/>
  <c r="BF456" i="3"/>
  <c r="BG456" i="3"/>
  <c r="BH456" i="3"/>
  <c r="BI456" i="3"/>
  <c r="BJ456" i="3"/>
  <c r="BK456" i="3"/>
  <c r="BA456" i="3"/>
  <c r="BM456" i="3"/>
  <c r="BN456" i="3"/>
  <c r="BO456" i="3"/>
  <c r="BP456" i="3"/>
  <c r="BQ456" i="3"/>
  <c r="BR456" i="3"/>
  <c r="BS456" i="3"/>
  <c r="BT456" i="3"/>
  <c r="BL456" i="3"/>
  <c r="AZ456" i="3"/>
  <c r="BC457" i="3"/>
  <c r="BD457" i="3"/>
  <c r="BF457" i="3"/>
  <c r="BG457" i="3"/>
  <c r="BH457" i="3"/>
  <c r="BI457" i="3"/>
  <c r="BJ457" i="3"/>
  <c r="BK457" i="3"/>
  <c r="BA457" i="3"/>
  <c r="BM457" i="3"/>
  <c r="BN457" i="3"/>
  <c r="BO457" i="3"/>
  <c r="BP457" i="3"/>
  <c r="BQ457" i="3"/>
  <c r="BR457" i="3"/>
  <c r="BS457" i="3"/>
  <c r="BT457" i="3"/>
  <c r="BL457" i="3"/>
  <c r="AZ457" i="3"/>
  <c r="BC458" i="3"/>
  <c r="BD458" i="3"/>
  <c r="BF458" i="3"/>
  <c r="BG458" i="3"/>
  <c r="BH458" i="3"/>
  <c r="BI458" i="3"/>
  <c r="BJ458" i="3"/>
  <c r="BK458" i="3"/>
  <c r="BA458" i="3"/>
  <c r="BM458" i="3"/>
  <c r="BN458" i="3"/>
  <c r="BO458" i="3"/>
  <c r="BP458" i="3"/>
  <c r="BQ458" i="3"/>
  <c r="BR458" i="3"/>
  <c r="BS458" i="3"/>
  <c r="BT458" i="3"/>
  <c r="BL458" i="3"/>
  <c r="AZ458" i="3"/>
  <c r="BC459" i="3"/>
  <c r="BD459" i="3"/>
  <c r="BF459" i="3"/>
  <c r="BG459" i="3"/>
  <c r="BH459" i="3"/>
  <c r="BI459" i="3"/>
  <c r="BJ459" i="3"/>
  <c r="BK459" i="3"/>
  <c r="BA459" i="3"/>
  <c r="BM459" i="3"/>
  <c r="BN459" i="3"/>
  <c r="BO459" i="3"/>
  <c r="BP459" i="3"/>
  <c r="BQ459" i="3"/>
  <c r="BR459" i="3"/>
  <c r="BS459" i="3"/>
  <c r="BT459" i="3"/>
  <c r="BL459" i="3"/>
  <c r="AZ459" i="3"/>
  <c r="BC460" i="3"/>
  <c r="BD460" i="3"/>
  <c r="BF460" i="3"/>
  <c r="BG460" i="3"/>
  <c r="BH460" i="3"/>
  <c r="BI460" i="3"/>
  <c r="BJ460" i="3"/>
  <c r="BK460" i="3"/>
  <c r="BA460" i="3"/>
  <c r="BM460" i="3"/>
  <c r="BN460" i="3"/>
  <c r="BO460" i="3"/>
  <c r="BP460" i="3"/>
  <c r="BQ460" i="3"/>
  <c r="BR460" i="3"/>
  <c r="BS460" i="3"/>
  <c r="BT460" i="3"/>
  <c r="BL460" i="3"/>
  <c r="AZ460" i="3"/>
  <c r="BC461" i="3"/>
  <c r="BD461" i="3"/>
  <c r="BF461" i="3"/>
  <c r="BG461" i="3"/>
  <c r="BH461" i="3"/>
  <c r="BI461" i="3"/>
  <c r="BJ461" i="3"/>
  <c r="BK461" i="3"/>
  <c r="BA461" i="3"/>
  <c r="BM461" i="3"/>
  <c r="BN461" i="3"/>
  <c r="BO461" i="3"/>
  <c r="BP461" i="3"/>
  <c r="BQ461" i="3"/>
  <c r="BR461" i="3"/>
  <c r="BS461" i="3"/>
  <c r="BT461" i="3"/>
  <c r="BL461" i="3"/>
  <c r="AZ461" i="3"/>
  <c r="BC462" i="3"/>
  <c r="BD462" i="3"/>
  <c r="BF462" i="3"/>
  <c r="BG462" i="3"/>
  <c r="BH462" i="3"/>
  <c r="BI462" i="3"/>
  <c r="BJ462" i="3"/>
  <c r="BK462" i="3"/>
  <c r="BA462" i="3"/>
  <c r="BM462" i="3"/>
  <c r="BN462" i="3"/>
  <c r="BO462" i="3"/>
  <c r="BP462" i="3"/>
  <c r="BQ462" i="3"/>
  <c r="BR462" i="3"/>
  <c r="BS462" i="3"/>
  <c r="BT462" i="3"/>
  <c r="BL462" i="3"/>
  <c r="AZ462" i="3"/>
  <c r="BC463" i="3"/>
  <c r="BD463" i="3"/>
  <c r="BF463" i="3"/>
  <c r="BG463" i="3"/>
  <c r="BH463" i="3"/>
  <c r="BI463" i="3"/>
  <c r="BJ463" i="3"/>
  <c r="BK463" i="3"/>
  <c r="BA463" i="3"/>
  <c r="BM463" i="3"/>
  <c r="BN463" i="3"/>
  <c r="BO463" i="3"/>
  <c r="BP463" i="3"/>
  <c r="BQ463" i="3"/>
  <c r="BR463" i="3"/>
  <c r="BS463" i="3"/>
  <c r="BT463" i="3"/>
  <c r="BL463" i="3"/>
  <c r="AZ463" i="3"/>
  <c r="BC464" i="3"/>
  <c r="BD464" i="3"/>
  <c r="BF464" i="3"/>
  <c r="BG464" i="3"/>
  <c r="BH464" i="3"/>
  <c r="BI464" i="3"/>
  <c r="BJ464" i="3"/>
  <c r="BK464" i="3"/>
  <c r="BA464" i="3"/>
  <c r="BM464" i="3"/>
  <c r="BN464" i="3"/>
  <c r="BO464" i="3"/>
  <c r="BP464" i="3"/>
  <c r="BQ464" i="3"/>
  <c r="BR464" i="3"/>
  <c r="BS464" i="3"/>
  <c r="BT464" i="3"/>
  <c r="BL464" i="3"/>
  <c r="AZ464" i="3"/>
  <c r="BC465" i="3"/>
  <c r="BD465" i="3"/>
  <c r="BF465" i="3"/>
  <c r="BG465" i="3"/>
  <c r="BH465" i="3"/>
  <c r="BI465" i="3"/>
  <c r="BJ465" i="3"/>
  <c r="BK465" i="3"/>
  <c r="BA465" i="3"/>
  <c r="BM465" i="3"/>
  <c r="BN465" i="3"/>
  <c r="BO465" i="3"/>
  <c r="BP465" i="3"/>
  <c r="BQ465" i="3"/>
  <c r="BR465" i="3"/>
  <c r="BS465" i="3"/>
  <c r="BT465" i="3"/>
  <c r="BL465" i="3"/>
  <c r="AZ465" i="3"/>
  <c r="BC466" i="3"/>
  <c r="BD466" i="3"/>
  <c r="BF466" i="3"/>
  <c r="BG466" i="3"/>
  <c r="BH466" i="3"/>
  <c r="BI466" i="3"/>
  <c r="BJ466" i="3"/>
  <c r="BK466" i="3"/>
  <c r="BA466" i="3"/>
  <c r="BM466" i="3"/>
  <c r="BN466" i="3"/>
  <c r="BO466" i="3"/>
  <c r="BP466" i="3"/>
  <c r="BQ466" i="3"/>
  <c r="BR466" i="3"/>
  <c r="BS466" i="3"/>
  <c r="BT466" i="3"/>
  <c r="BL466" i="3"/>
  <c r="AZ466" i="3"/>
  <c r="BC467" i="3"/>
  <c r="BD467" i="3"/>
  <c r="BF467" i="3"/>
  <c r="BG467" i="3"/>
  <c r="BH467" i="3"/>
  <c r="BI467" i="3"/>
  <c r="BJ467" i="3"/>
  <c r="BK467" i="3"/>
  <c r="BA467" i="3"/>
  <c r="BM467" i="3"/>
  <c r="BN467" i="3"/>
  <c r="BO467" i="3"/>
  <c r="BP467" i="3"/>
  <c r="BQ467" i="3"/>
  <c r="BR467" i="3"/>
  <c r="BS467" i="3"/>
  <c r="BT467" i="3"/>
  <c r="BL467" i="3"/>
  <c r="AZ467" i="3"/>
  <c r="BC468" i="3"/>
  <c r="BD468" i="3"/>
  <c r="BF468" i="3"/>
  <c r="BG468" i="3"/>
  <c r="BH468" i="3"/>
  <c r="BI468" i="3"/>
  <c r="BJ468" i="3"/>
  <c r="BK468" i="3"/>
  <c r="BA468" i="3"/>
  <c r="BM468" i="3"/>
  <c r="BN468" i="3"/>
  <c r="BO468" i="3"/>
  <c r="BP468" i="3"/>
  <c r="BQ468" i="3"/>
  <c r="BR468" i="3"/>
  <c r="BS468" i="3"/>
  <c r="BT468" i="3"/>
  <c r="BL468" i="3"/>
  <c r="AZ468" i="3"/>
  <c r="BC469" i="3"/>
  <c r="BD469" i="3"/>
  <c r="BF469" i="3"/>
  <c r="BG469" i="3"/>
  <c r="BH469" i="3"/>
  <c r="BI469" i="3"/>
  <c r="BJ469" i="3"/>
  <c r="BK469" i="3"/>
  <c r="BA469" i="3"/>
  <c r="BM469" i="3"/>
  <c r="BN469" i="3"/>
  <c r="BO469" i="3"/>
  <c r="BP469" i="3"/>
  <c r="BQ469" i="3"/>
  <c r="BR469" i="3"/>
  <c r="BS469" i="3"/>
  <c r="BT469" i="3"/>
  <c r="BL469" i="3"/>
  <c r="AZ469" i="3"/>
  <c r="BC470" i="3"/>
  <c r="BD470" i="3"/>
  <c r="BF470" i="3"/>
  <c r="BG470" i="3"/>
  <c r="BH470" i="3"/>
  <c r="BI470" i="3"/>
  <c r="BJ470" i="3"/>
  <c r="BK470" i="3"/>
  <c r="BA470" i="3"/>
  <c r="BM470" i="3"/>
  <c r="BN470" i="3"/>
  <c r="BO470" i="3"/>
  <c r="BP470" i="3"/>
  <c r="BQ470" i="3"/>
  <c r="BR470" i="3"/>
  <c r="BS470" i="3"/>
  <c r="BT470" i="3"/>
  <c r="BL470" i="3"/>
  <c r="AZ470" i="3"/>
  <c r="BC471" i="3"/>
  <c r="BD471" i="3"/>
  <c r="BF471" i="3"/>
  <c r="BG471" i="3"/>
  <c r="BH471" i="3"/>
  <c r="BI471" i="3"/>
  <c r="BJ471" i="3"/>
  <c r="BK471" i="3"/>
  <c r="BA471" i="3"/>
  <c r="BM471" i="3"/>
  <c r="BN471" i="3"/>
  <c r="BO471" i="3"/>
  <c r="BP471" i="3"/>
  <c r="BQ471" i="3"/>
  <c r="BR471" i="3"/>
  <c r="BS471" i="3"/>
  <c r="BT471" i="3"/>
  <c r="BL471" i="3"/>
  <c r="AZ471" i="3"/>
  <c r="BC472" i="3"/>
  <c r="BD472" i="3"/>
  <c r="BF472" i="3"/>
  <c r="BG472" i="3"/>
  <c r="BH472" i="3"/>
  <c r="BI472" i="3"/>
  <c r="BJ472" i="3"/>
  <c r="BK472" i="3"/>
  <c r="BA472" i="3"/>
  <c r="BM472" i="3"/>
  <c r="BN472" i="3"/>
  <c r="BO472" i="3"/>
  <c r="BP472" i="3"/>
  <c r="BQ472" i="3"/>
  <c r="BR472" i="3"/>
  <c r="BS472" i="3"/>
  <c r="BT472" i="3"/>
  <c r="BL472" i="3"/>
  <c r="AZ472" i="3"/>
  <c r="BC473" i="3"/>
  <c r="BD473" i="3"/>
  <c r="BF473" i="3"/>
  <c r="BG473" i="3"/>
  <c r="BH473" i="3"/>
  <c r="BI473" i="3"/>
  <c r="BJ473" i="3"/>
  <c r="BK473" i="3"/>
  <c r="BA473" i="3"/>
  <c r="BM473" i="3"/>
  <c r="BN473" i="3"/>
  <c r="BO473" i="3"/>
  <c r="BP473" i="3"/>
  <c r="BQ473" i="3"/>
  <c r="BR473" i="3"/>
  <c r="BS473" i="3"/>
  <c r="BT473" i="3"/>
  <c r="BL473" i="3"/>
  <c r="AZ473" i="3"/>
  <c r="BC474" i="3"/>
  <c r="BD474" i="3"/>
  <c r="BF474" i="3"/>
  <c r="BG474" i="3"/>
  <c r="BH474" i="3"/>
  <c r="BI474" i="3"/>
  <c r="BJ474" i="3"/>
  <c r="BK474" i="3"/>
  <c r="BA474" i="3"/>
  <c r="BM474" i="3"/>
  <c r="BN474" i="3"/>
  <c r="BO474" i="3"/>
  <c r="BP474" i="3"/>
  <c r="BQ474" i="3"/>
  <c r="BR474" i="3"/>
  <c r="BS474" i="3"/>
  <c r="BT474" i="3"/>
  <c r="BL474" i="3"/>
  <c r="AZ474" i="3"/>
  <c r="BC475" i="3"/>
  <c r="BD475" i="3"/>
  <c r="BF475" i="3"/>
  <c r="BG475" i="3"/>
  <c r="BH475" i="3"/>
  <c r="BI475" i="3"/>
  <c r="BJ475" i="3"/>
  <c r="BK475" i="3"/>
  <c r="BA475" i="3"/>
  <c r="BM475" i="3"/>
  <c r="BN475" i="3"/>
  <c r="BO475" i="3"/>
  <c r="BP475" i="3"/>
  <c r="BQ475" i="3"/>
  <c r="BR475" i="3"/>
  <c r="BS475" i="3"/>
  <c r="BT475" i="3"/>
  <c r="BL475" i="3"/>
  <c r="AZ475" i="3"/>
  <c r="BC476" i="3"/>
  <c r="BD476" i="3"/>
  <c r="BF476" i="3"/>
  <c r="BG476" i="3"/>
  <c r="BH476" i="3"/>
  <c r="BI476" i="3"/>
  <c r="BJ476" i="3"/>
  <c r="BK476" i="3"/>
  <c r="BA476" i="3"/>
  <c r="BM476" i="3"/>
  <c r="BN476" i="3"/>
  <c r="BO476" i="3"/>
  <c r="BP476" i="3"/>
  <c r="BQ476" i="3"/>
  <c r="BR476" i="3"/>
  <c r="BS476" i="3"/>
  <c r="BT476" i="3"/>
  <c r="BL476" i="3"/>
  <c r="AZ476" i="3"/>
  <c r="BC477" i="3"/>
  <c r="BD477" i="3"/>
  <c r="BF477" i="3"/>
  <c r="BG477" i="3"/>
  <c r="BH477" i="3"/>
  <c r="BI477" i="3"/>
  <c r="BJ477" i="3"/>
  <c r="BK477" i="3"/>
  <c r="BA477" i="3"/>
  <c r="BM477" i="3"/>
  <c r="BN477" i="3"/>
  <c r="BO477" i="3"/>
  <c r="BP477" i="3"/>
  <c r="BQ477" i="3"/>
  <c r="BR477" i="3"/>
  <c r="BS477" i="3"/>
  <c r="BT477" i="3"/>
  <c r="BL477" i="3"/>
  <c r="AZ477" i="3"/>
  <c r="BC478" i="3"/>
  <c r="BD478" i="3"/>
  <c r="BF478" i="3"/>
  <c r="BG478" i="3"/>
  <c r="BH478" i="3"/>
  <c r="BI478" i="3"/>
  <c r="BJ478" i="3"/>
  <c r="BK478" i="3"/>
  <c r="BA478" i="3"/>
  <c r="BM478" i="3"/>
  <c r="BN478" i="3"/>
  <c r="BO478" i="3"/>
  <c r="BP478" i="3"/>
  <c r="BQ478" i="3"/>
  <c r="BR478" i="3"/>
  <c r="BS478" i="3"/>
  <c r="BT478" i="3"/>
  <c r="BL478" i="3"/>
  <c r="AZ478" i="3"/>
  <c r="BC479" i="3"/>
  <c r="BD479" i="3"/>
  <c r="BF479" i="3"/>
  <c r="BG479" i="3"/>
  <c r="BH479" i="3"/>
  <c r="BI479" i="3"/>
  <c r="BJ479" i="3"/>
  <c r="BK479" i="3"/>
  <c r="BA479" i="3"/>
  <c r="BM479" i="3"/>
  <c r="BN479" i="3"/>
  <c r="BO479" i="3"/>
  <c r="BP479" i="3"/>
  <c r="BQ479" i="3"/>
  <c r="BR479" i="3"/>
  <c r="BS479" i="3"/>
  <c r="BT479" i="3"/>
  <c r="BL479" i="3"/>
  <c r="AZ479" i="3"/>
  <c r="BC480" i="3"/>
  <c r="BD480" i="3"/>
  <c r="BF480" i="3"/>
  <c r="BG480" i="3"/>
  <c r="BH480" i="3"/>
  <c r="BI480" i="3"/>
  <c r="BJ480" i="3"/>
  <c r="BK480" i="3"/>
  <c r="BA480" i="3"/>
  <c r="BM480" i="3"/>
  <c r="BN480" i="3"/>
  <c r="BO480" i="3"/>
  <c r="BP480" i="3"/>
  <c r="BQ480" i="3"/>
  <c r="BR480" i="3"/>
  <c r="BS480" i="3"/>
  <c r="BT480" i="3"/>
  <c r="BL480" i="3"/>
  <c r="AZ480" i="3"/>
  <c r="BC481" i="3"/>
  <c r="BD481" i="3"/>
  <c r="BF481" i="3"/>
  <c r="BG481" i="3"/>
  <c r="BH481" i="3"/>
  <c r="BI481" i="3"/>
  <c r="BJ481" i="3"/>
  <c r="BK481" i="3"/>
  <c r="BA481" i="3"/>
  <c r="BM481" i="3"/>
  <c r="BN481" i="3"/>
  <c r="BO481" i="3"/>
  <c r="BP481" i="3"/>
  <c r="BQ481" i="3"/>
  <c r="BR481" i="3"/>
  <c r="BS481" i="3"/>
  <c r="BT481" i="3"/>
  <c r="BL481" i="3"/>
  <c r="AZ481" i="3"/>
  <c r="BC482" i="3"/>
  <c r="BD482" i="3"/>
  <c r="BF482" i="3"/>
  <c r="BG482" i="3"/>
  <c r="BH482" i="3"/>
  <c r="BI482" i="3"/>
  <c r="BJ482" i="3"/>
  <c r="BK482" i="3"/>
  <c r="BA482" i="3"/>
  <c r="BM482" i="3"/>
  <c r="BN482" i="3"/>
  <c r="BO482" i="3"/>
  <c r="BP482" i="3"/>
  <c r="BQ482" i="3"/>
  <c r="BR482" i="3"/>
  <c r="BS482" i="3"/>
  <c r="BT482" i="3"/>
  <c r="BL482" i="3"/>
  <c r="AZ482" i="3"/>
  <c r="BC483" i="3"/>
  <c r="BD483" i="3"/>
  <c r="BF483" i="3"/>
  <c r="BG483" i="3"/>
  <c r="BH483" i="3"/>
  <c r="BI483" i="3"/>
  <c r="BJ483" i="3"/>
  <c r="BK483" i="3"/>
  <c r="BA483" i="3"/>
  <c r="BM483" i="3"/>
  <c r="BN483" i="3"/>
  <c r="BO483" i="3"/>
  <c r="BP483" i="3"/>
  <c r="BQ483" i="3"/>
  <c r="BR483" i="3"/>
  <c r="BS483" i="3"/>
  <c r="BT483" i="3"/>
  <c r="BL483" i="3"/>
  <c r="AZ483" i="3"/>
  <c r="BC484" i="3"/>
  <c r="BD484" i="3"/>
  <c r="BF484" i="3"/>
  <c r="BG484" i="3"/>
  <c r="BH484" i="3"/>
  <c r="BI484" i="3"/>
  <c r="BJ484" i="3"/>
  <c r="BK484" i="3"/>
  <c r="BA484" i="3"/>
  <c r="BM484" i="3"/>
  <c r="BN484" i="3"/>
  <c r="BO484" i="3"/>
  <c r="BP484" i="3"/>
  <c r="BQ484" i="3"/>
  <c r="BR484" i="3"/>
  <c r="BS484" i="3"/>
  <c r="BT484" i="3"/>
  <c r="BL484" i="3"/>
  <c r="AZ484" i="3"/>
  <c r="BC485" i="3"/>
  <c r="BD485" i="3"/>
  <c r="BF485" i="3"/>
  <c r="BG485" i="3"/>
  <c r="BH485" i="3"/>
  <c r="BI485" i="3"/>
  <c r="BJ485" i="3"/>
  <c r="BK485" i="3"/>
  <c r="BA485" i="3"/>
  <c r="BM485" i="3"/>
  <c r="BN485" i="3"/>
  <c r="BO485" i="3"/>
  <c r="BP485" i="3"/>
  <c r="BQ485" i="3"/>
  <c r="BR485" i="3"/>
  <c r="BS485" i="3"/>
  <c r="BT485" i="3"/>
  <c r="BL485" i="3"/>
  <c r="AZ485" i="3"/>
  <c r="BC486" i="3"/>
  <c r="BD486" i="3"/>
  <c r="BF486" i="3"/>
  <c r="BG486" i="3"/>
  <c r="BH486" i="3"/>
  <c r="BI486" i="3"/>
  <c r="BJ486" i="3"/>
  <c r="BK486" i="3"/>
  <c r="BA486" i="3"/>
  <c r="BM486" i="3"/>
  <c r="BN486" i="3"/>
  <c r="BO486" i="3"/>
  <c r="BP486" i="3"/>
  <c r="BQ486" i="3"/>
  <c r="BR486" i="3"/>
  <c r="BS486" i="3"/>
  <c r="BT486" i="3"/>
  <c r="BL486" i="3"/>
  <c r="AZ486" i="3"/>
  <c r="BC487" i="3"/>
  <c r="BD487" i="3"/>
  <c r="BF487" i="3"/>
  <c r="BG487" i="3"/>
  <c r="BH487" i="3"/>
  <c r="BI487" i="3"/>
  <c r="BJ487" i="3"/>
  <c r="BK487" i="3"/>
  <c r="BA487" i="3"/>
  <c r="BM487" i="3"/>
  <c r="BN487" i="3"/>
  <c r="BO487" i="3"/>
  <c r="BP487" i="3"/>
  <c r="BQ487" i="3"/>
  <c r="BR487" i="3"/>
  <c r="BS487" i="3"/>
  <c r="BT487" i="3"/>
  <c r="BL487" i="3"/>
  <c r="AZ487" i="3"/>
  <c r="BC488" i="3"/>
  <c r="BD488" i="3"/>
  <c r="BF488" i="3"/>
  <c r="BG488" i="3"/>
  <c r="BH488" i="3"/>
  <c r="BI488" i="3"/>
  <c r="BJ488" i="3"/>
  <c r="BK488" i="3"/>
  <c r="BA488" i="3"/>
  <c r="BM488" i="3"/>
  <c r="BN488" i="3"/>
  <c r="BO488" i="3"/>
  <c r="BP488" i="3"/>
  <c r="BQ488" i="3"/>
  <c r="BR488" i="3"/>
  <c r="BS488" i="3"/>
  <c r="BT488" i="3"/>
  <c r="BL488" i="3"/>
  <c r="AZ488" i="3"/>
  <c r="BC489" i="3"/>
  <c r="BD489" i="3"/>
  <c r="BF489" i="3"/>
  <c r="BG489" i="3"/>
  <c r="BH489" i="3"/>
  <c r="BI489" i="3"/>
  <c r="BJ489" i="3"/>
  <c r="BK489" i="3"/>
  <c r="BA489" i="3"/>
  <c r="BM489" i="3"/>
  <c r="BN489" i="3"/>
  <c r="BO489" i="3"/>
  <c r="BP489" i="3"/>
  <c r="BQ489" i="3"/>
  <c r="BR489" i="3"/>
  <c r="BS489" i="3"/>
  <c r="BT489" i="3"/>
  <c r="BL489" i="3"/>
  <c r="AZ489" i="3"/>
  <c r="BC490" i="3"/>
  <c r="BD490" i="3"/>
  <c r="BF490" i="3"/>
  <c r="BG490" i="3"/>
  <c r="BH490" i="3"/>
  <c r="BI490" i="3"/>
  <c r="BJ490" i="3"/>
  <c r="BK490" i="3"/>
  <c r="BA490" i="3"/>
  <c r="BM490" i="3"/>
  <c r="BN490" i="3"/>
  <c r="BO490" i="3"/>
  <c r="BP490" i="3"/>
  <c r="BQ490" i="3"/>
  <c r="BR490" i="3"/>
  <c r="BS490" i="3"/>
  <c r="BT490" i="3"/>
  <c r="BL490" i="3"/>
  <c r="AZ490" i="3"/>
  <c r="BC491" i="3"/>
  <c r="BD491" i="3"/>
  <c r="BF491" i="3"/>
  <c r="BG491" i="3"/>
  <c r="BH491" i="3"/>
  <c r="BI491" i="3"/>
  <c r="BJ491" i="3"/>
  <c r="BK491" i="3"/>
  <c r="BA491" i="3"/>
  <c r="BM491" i="3"/>
  <c r="BN491" i="3"/>
  <c r="BO491" i="3"/>
  <c r="BP491" i="3"/>
  <c r="BQ491" i="3"/>
  <c r="BR491" i="3"/>
  <c r="BS491" i="3"/>
  <c r="BT491" i="3"/>
  <c r="BL491" i="3"/>
  <c r="AZ491" i="3"/>
  <c r="BC492" i="3"/>
  <c r="BD492" i="3"/>
  <c r="BF492" i="3"/>
  <c r="BG492" i="3"/>
  <c r="BH492" i="3"/>
  <c r="BI492" i="3"/>
  <c r="BJ492" i="3"/>
  <c r="BK492" i="3"/>
  <c r="BA492" i="3"/>
  <c r="BM492" i="3"/>
  <c r="BN492" i="3"/>
  <c r="BO492" i="3"/>
  <c r="BP492" i="3"/>
  <c r="BQ492" i="3"/>
  <c r="BR492" i="3"/>
  <c r="BS492" i="3"/>
  <c r="BT492" i="3"/>
  <c r="BL492" i="3"/>
  <c r="AZ492" i="3"/>
  <c r="BC493" i="3"/>
  <c r="BD493" i="3"/>
  <c r="BF493" i="3"/>
  <c r="BG493" i="3"/>
  <c r="BH493" i="3"/>
  <c r="BI493" i="3"/>
  <c r="BJ493" i="3"/>
  <c r="BK493" i="3"/>
  <c r="BA493" i="3"/>
  <c r="BM493" i="3"/>
  <c r="BN493" i="3"/>
  <c r="BO493" i="3"/>
  <c r="BP493" i="3"/>
  <c r="BQ493" i="3"/>
  <c r="BR493" i="3"/>
  <c r="BS493" i="3"/>
  <c r="BT493" i="3"/>
  <c r="BL493" i="3"/>
  <c r="AZ493" i="3"/>
  <c r="BC494" i="3"/>
  <c r="BD494" i="3"/>
  <c r="BF494" i="3"/>
  <c r="BG494" i="3"/>
  <c r="BH494" i="3"/>
  <c r="BI494" i="3"/>
  <c r="BJ494" i="3"/>
  <c r="BK494" i="3"/>
  <c r="BA494" i="3"/>
  <c r="BM494" i="3"/>
  <c r="BN494" i="3"/>
  <c r="BO494" i="3"/>
  <c r="BP494" i="3"/>
  <c r="BQ494" i="3"/>
  <c r="BR494" i="3"/>
  <c r="BS494" i="3"/>
  <c r="BT494" i="3"/>
  <c r="BL494" i="3"/>
  <c r="AZ494" i="3"/>
  <c r="BC495" i="3"/>
  <c r="BD495" i="3"/>
  <c r="BF495" i="3"/>
  <c r="BG495" i="3"/>
  <c r="BH495" i="3"/>
  <c r="BI495" i="3"/>
  <c r="BJ495" i="3"/>
  <c r="BK495" i="3"/>
  <c r="BA495" i="3"/>
  <c r="BM495" i="3"/>
  <c r="BN495" i="3"/>
  <c r="BO495" i="3"/>
  <c r="BP495" i="3"/>
  <c r="BQ495" i="3"/>
  <c r="BR495" i="3"/>
  <c r="BS495" i="3"/>
  <c r="BT495" i="3"/>
  <c r="BL495" i="3"/>
  <c r="AZ495" i="3"/>
  <c r="BC496" i="3"/>
  <c r="BD496" i="3"/>
  <c r="BF496" i="3"/>
  <c r="BG496" i="3"/>
  <c r="BH496" i="3"/>
  <c r="BI496" i="3"/>
  <c r="BJ496" i="3"/>
  <c r="BK496" i="3"/>
  <c r="BA496" i="3"/>
  <c r="BM496" i="3"/>
  <c r="BN496" i="3"/>
  <c r="BO496" i="3"/>
  <c r="BP496" i="3"/>
  <c r="BQ496" i="3"/>
  <c r="BR496" i="3"/>
  <c r="BS496" i="3"/>
  <c r="BT496" i="3"/>
  <c r="BL496" i="3"/>
  <c r="AZ496" i="3"/>
  <c r="BC497" i="3"/>
  <c r="BD497" i="3"/>
  <c r="BF497" i="3"/>
  <c r="BG497" i="3"/>
  <c r="BH497" i="3"/>
  <c r="BI497" i="3"/>
  <c r="BJ497" i="3"/>
  <c r="BK497" i="3"/>
  <c r="BA497" i="3"/>
  <c r="BM497" i="3"/>
  <c r="BN497" i="3"/>
  <c r="BO497" i="3"/>
  <c r="BP497" i="3"/>
  <c r="BQ497" i="3"/>
  <c r="BR497" i="3"/>
  <c r="BS497" i="3"/>
  <c r="BT497" i="3"/>
  <c r="BL497" i="3"/>
  <c r="AZ497" i="3"/>
  <c r="BC498" i="3"/>
  <c r="BD498" i="3"/>
  <c r="BF498" i="3"/>
  <c r="BG498" i="3"/>
  <c r="BH498" i="3"/>
  <c r="BI498" i="3"/>
  <c r="BJ498" i="3"/>
  <c r="BK498" i="3"/>
  <c r="BA498" i="3"/>
  <c r="BM498" i="3"/>
  <c r="BN498" i="3"/>
  <c r="BO498" i="3"/>
  <c r="BP498" i="3"/>
  <c r="BQ498" i="3"/>
  <c r="BR498" i="3"/>
  <c r="BS498" i="3"/>
  <c r="BT498" i="3"/>
  <c r="BL498" i="3"/>
  <c r="AZ498" i="3"/>
  <c r="BC499" i="3"/>
  <c r="BD499" i="3"/>
  <c r="BF499" i="3"/>
  <c r="BG499" i="3"/>
  <c r="BH499" i="3"/>
  <c r="BI499" i="3"/>
  <c r="BJ499" i="3"/>
  <c r="BK499" i="3"/>
  <c r="BA499" i="3"/>
  <c r="BM499" i="3"/>
  <c r="BN499" i="3"/>
  <c r="BO499" i="3"/>
  <c r="BP499" i="3"/>
  <c r="BQ499" i="3"/>
  <c r="BR499" i="3"/>
  <c r="BS499" i="3"/>
  <c r="BT499" i="3"/>
  <c r="BL499" i="3"/>
  <c r="AZ499" i="3"/>
  <c r="BC500" i="3"/>
  <c r="BD500" i="3"/>
  <c r="BF500" i="3"/>
  <c r="BG500" i="3"/>
  <c r="BH500" i="3"/>
  <c r="BI500" i="3"/>
  <c r="BJ500" i="3"/>
  <c r="BK500" i="3"/>
  <c r="BA500" i="3"/>
  <c r="BM500" i="3"/>
  <c r="BN500" i="3"/>
  <c r="BO500" i="3"/>
  <c r="BP500" i="3"/>
  <c r="BQ500" i="3"/>
  <c r="BR500" i="3"/>
  <c r="BS500" i="3"/>
  <c r="BT500" i="3"/>
  <c r="BL500" i="3"/>
  <c r="AZ500" i="3"/>
  <c r="BC501" i="3"/>
  <c r="BD501" i="3"/>
  <c r="BF501" i="3"/>
  <c r="BG501" i="3"/>
  <c r="BH501" i="3"/>
  <c r="BI501" i="3"/>
  <c r="BJ501" i="3"/>
  <c r="BK501" i="3"/>
  <c r="BA501" i="3"/>
  <c r="BM501" i="3"/>
  <c r="BN501" i="3"/>
  <c r="BO501" i="3"/>
  <c r="BP501" i="3"/>
  <c r="BQ501" i="3"/>
  <c r="BR501" i="3"/>
  <c r="BS501" i="3"/>
  <c r="BT501" i="3"/>
  <c r="BL501" i="3"/>
  <c r="AZ501" i="3"/>
  <c r="BC502" i="3"/>
  <c r="BD502" i="3"/>
  <c r="BF502" i="3"/>
  <c r="BG502" i="3"/>
  <c r="BH502" i="3"/>
  <c r="BI502" i="3"/>
  <c r="BJ502" i="3"/>
  <c r="BK502" i="3"/>
  <c r="BA502" i="3"/>
  <c r="BM502" i="3"/>
  <c r="BN502" i="3"/>
  <c r="BO502" i="3"/>
  <c r="BP502" i="3"/>
  <c r="BQ502" i="3"/>
  <c r="BR502" i="3"/>
  <c r="BS502" i="3"/>
  <c r="BT502" i="3"/>
  <c r="BL502" i="3"/>
  <c r="AZ502" i="3"/>
  <c r="BC503" i="3"/>
  <c r="BD503" i="3"/>
  <c r="BF503" i="3"/>
  <c r="BG503" i="3"/>
  <c r="BH503" i="3"/>
  <c r="BI503" i="3"/>
  <c r="BJ503" i="3"/>
  <c r="BK503" i="3"/>
  <c r="BA503" i="3"/>
  <c r="BM503" i="3"/>
  <c r="BN503" i="3"/>
  <c r="BO503" i="3"/>
  <c r="BP503" i="3"/>
  <c r="BQ503" i="3"/>
  <c r="BR503" i="3"/>
  <c r="BS503" i="3"/>
  <c r="BT503" i="3"/>
  <c r="BL503" i="3"/>
  <c r="AZ503" i="3"/>
  <c r="BC504" i="3"/>
  <c r="BD504" i="3"/>
  <c r="BF504" i="3"/>
  <c r="BG504" i="3"/>
  <c r="BH504" i="3"/>
  <c r="BI504" i="3"/>
  <c r="BJ504" i="3"/>
  <c r="BK504" i="3"/>
  <c r="BA504" i="3"/>
  <c r="BM504" i="3"/>
  <c r="BN504" i="3"/>
  <c r="BO504" i="3"/>
  <c r="BP504" i="3"/>
  <c r="BQ504" i="3"/>
  <c r="BR504" i="3"/>
  <c r="BS504" i="3"/>
  <c r="BT504" i="3"/>
  <c r="BL504" i="3"/>
  <c r="AZ504" i="3"/>
  <c r="BC505" i="3"/>
  <c r="BD505" i="3"/>
  <c r="BF505" i="3"/>
  <c r="BG505" i="3"/>
  <c r="BH505" i="3"/>
  <c r="BI505" i="3"/>
  <c r="BJ505" i="3"/>
  <c r="BK505" i="3"/>
  <c r="BA505" i="3"/>
  <c r="BM505" i="3"/>
  <c r="BN505" i="3"/>
  <c r="BO505" i="3"/>
  <c r="BP505" i="3"/>
  <c r="BQ505" i="3"/>
  <c r="BR505" i="3"/>
  <c r="BS505" i="3"/>
  <c r="BT505" i="3"/>
  <c r="BL505" i="3"/>
  <c r="AZ505" i="3"/>
  <c r="BC506" i="3"/>
  <c r="BD506" i="3"/>
  <c r="BF506" i="3"/>
  <c r="BG506" i="3"/>
  <c r="BH506" i="3"/>
  <c r="BI506" i="3"/>
  <c r="BJ506" i="3"/>
  <c r="BK506" i="3"/>
  <c r="BA506" i="3"/>
  <c r="BM506" i="3"/>
  <c r="BN506" i="3"/>
  <c r="BO506" i="3"/>
  <c r="BP506" i="3"/>
  <c r="BQ506" i="3"/>
  <c r="BR506" i="3"/>
  <c r="BS506" i="3"/>
  <c r="BT506" i="3"/>
  <c r="BL506" i="3"/>
  <c r="AZ506" i="3"/>
  <c r="BC507" i="3"/>
  <c r="BD507" i="3"/>
  <c r="BF507" i="3"/>
  <c r="BG507" i="3"/>
  <c r="BH507" i="3"/>
  <c r="BI507" i="3"/>
  <c r="BJ507" i="3"/>
  <c r="BK507" i="3"/>
  <c r="BA507" i="3"/>
  <c r="BM507" i="3"/>
  <c r="BN507" i="3"/>
  <c r="BO507" i="3"/>
  <c r="BP507" i="3"/>
  <c r="BQ507" i="3"/>
  <c r="BR507" i="3"/>
  <c r="BS507" i="3"/>
  <c r="BT507" i="3"/>
  <c r="BL507" i="3"/>
  <c r="AZ507" i="3"/>
  <c r="BC508" i="3"/>
  <c r="BD508" i="3"/>
  <c r="BF508" i="3"/>
  <c r="BG508" i="3"/>
  <c r="BH508" i="3"/>
  <c r="BI508" i="3"/>
  <c r="BJ508" i="3"/>
  <c r="BK508" i="3"/>
  <c r="BA508" i="3"/>
  <c r="BM508" i="3"/>
  <c r="BN508" i="3"/>
  <c r="BO508" i="3"/>
  <c r="BP508" i="3"/>
  <c r="BQ508" i="3"/>
  <c r="BR508" i="3"/>
  <c r="BS508" i="3"/>
  <c r="BT508" i="3"/>
  <c r="BL508" i="3"/>
  <c r="AZ508" i="3"/>
  <c r="BC509" i="3"/>
  <c r="BD509" i="3"/>
  <c r="BF509" i="3"/>
  <c r="BG509" i="3"/>
  <c r="BH509" i="3"/>
  <c r="BI509" i="3"/>
  <c r="BJ509" i="3"/>
  <c r="BK509" i="3"/>
  <c r="BA509" i="3"/>
  <c r="BM509" i="3"/>
  <c r="BN509" i="3"/>
  <c r="BO509" i="3"/>
  <c r="BP509" i="3"/>
  <c r="BQ509" i="3"/>
  <c r="BR509" i="3"/>
  <c r="BS509" i="3"/>
  <c r="BT509" i="3"/>
  <c r="BL509" i="3"/>
  <c r="AZ509" i="3"/>
  <c r="BC510" i="3"/>
  <c r="BD510" i="3"/>
  <c r="BF510" i="3"/>
  <c r="BG510" i="3"/>
  <c r="BH510" i="3"/>
  <c r="BI510" i="3"/>
  <c r="BJ510" i="3"/>
  <c r="BK510" i="3"/>
  <c r="BA510" i="3"/>
  <c r="BM510" i="3"/>
  <c r="BN510" i="3"/>
  <c r="BO510" i="3"/>
  <c r="BP510" i="3"/>
  <c r="BQ510" i="3"/>
  <c r="BR510" i="3"/>
  <c r="BS510" i="3"/>
  <c r="BT510" i="3"/>
  <c r="BL510" i="3"/>
  <c r="AZ510" i="3"/>
  <c r="BC511" i="3"/>
  <c r="BD511" i="3"/>
  <c r="BF511" i="3"/>
  <c r="BG511" i="3"/>
  <c r="BH511" i="3"/>
  <c r="BI511" i="3"/>
  <c r="BJ511" i="3"/>
  <c r="BK511" i="3"/>
  <c r="BA511" i="3"/>
  <c r="BM511" i="3"/>
  <c r="BN511" i="3"/>
  <c r="BO511" i="3"/>
  <c r="BP511" i="3"/>
  <c r="BQ511" i="3"/>
  <c r="BR511" i="3"/>
  <c r="BS511" i="3"/>
  <c r="BT511" i="3"/>
  <c r="BL511" i="3"/>
  <c r="AZ511" i="3"/>
  <c r="BC512" i="3"/>
  <c r="BD512" i="3"/>
  <c r="BF512" i="3"/>
  <c r="BG512" i="3"/>
  <c r="BH512" i="3"/>
  <c r="BI512" i="3"/>
  <c r="BJ512" i="3"/>
  <c r="BK512" i="3"/>
  <c r="BA512" i="3"/>
  <c r="BM512" i="3"/>
  <c r="BN512" i="3"/>
  <c r="BO512" i="3"/>
  <c r="BP512" i="3"/>
  <c r="BQ512" i="3"/>
  <c r="BR512" i="3"/>
  <c r="BS512" i="3"/>
  <c r="BT512" i="3"/>
  <c r="BL512" i="3"/>
  <c r="AZ512" i="3"/>
  <c r="BC513" i="3"/>
  <c r="BD513" i="3"/>
  <c r="BF513" i="3"/>
  <c r="BG513" i="3"/>
  <c r="BH513" i="3"/>
  <c r="BI513" i="3"/>
  <c r="BJ513" i="3"/>
  <c r="BK513" i="3"/>
  <c r="BA513" i="3"/>
  <c r="BM513" i="3"/>
  <c r="BN513" i="3"/>
  <c r="BO513" i="3"/>
  <c r="BP513" i="3"/>
  <c r="BQ513" i="3"/>
  <c r="BR513" i="3"/>
  <c r="BS513" i="3"/>
  <c r="BT513" i="3"/>
  <c r="BL513" i="3"/>
  <c r="AZ513" i="3"/>
  <c r="BC514" i="3"/>
  <c r="BD514" i="3"/>
  <c r="BF514" i="3"/>
  <c r="BG514" i="3"/>
  <c r="BH514" i="3"/>
  <c r="BI514" i="3"/>
  <c r="BJ514" i="3"/>
  <c r="BK514" i="3"/>
  <c r="BA514" i="3"/>
  <c r="BM514" i="3"/>
  <c r="BN514" i="3"/>
  <c r="BO514" i="3"/>
  <c r="BP514" i="3"/>
  <c r="BQ514" i="3"/>
  <c r="BR514" i="3"/>
  <c r="BS514" i="3"/>
  <c r="BT514" i="3"/>
  <c r="BL514" i="3"/>
  <c r="AZ514" i="3"/>
  <c r="BC515" i="3"/>
  <c r="BD515" i="3"/>
  <c r="BF515" i="3"/>
  <c r="BG515" i="3"/>
  <c r="BH515" i="3"/>
  <c r="BI515" i="3"/>
  <c r="BJ515" i="3"/>
  <c r="BK515" i="3"/>
  <c r="BA515" i="3"/>
  <c r="BM515" i="3"/>
  <c r="BN515" i="3"/>
  <c r="BO515" i="3"/>
  <c r="BP515" i="3"/>
  <c r="BQ515" i="3"/>
  <c r="BR515" i="3"/>
  <c r="BS515" i="3"/>
  <c r="BT515" i="3"/>
  <c r="BL515" i="3"/>
  <c r="AZ515" i="3"/>
  <c r="BC516" i="3"/>
  <c r="BD516" i="3"/>
  <c r="BF516" i="3"/>
  <c r="BG516" i="3"/>
  <c r="BH516" i="3"/>
  <c r="BI516" i="3"/>
  <c r="BJ516" i="3"/>
  <c r="BK516" i="3"/>
  <c r="BA516" i="3"/>
  <c r="BM516" i="3"/>
  <c r="BN516" i="3"/>
  <c r="BO516" i="3"/>
  <c r="BP516" i="3"/>
  <c r="BQ516" i="3"/>
  <c r="BR516" i="3"/>
  <c r="BS516" i="3"/>
  <c r="BT516" i="3"/>
  <c r="BL516" i="3"/>
  <c r="AZ516" i="3"/>
  <c r="BC517" i="3"/>
  <c r="BD517" i="3"/>
  <c r="BF517" i="3"/>
  <c r="BG517" i="3"/>
  <c r="BH517" i="3"/>
  <c r="BI517" i="3"/>
  <c r="BJ517" i="3"/>
  <c r="BK517" i="3"/>
  <c r="BA517" i="3"/>
  <c r="BM517" i="3"/>
  <c r="BN517" i="3"/>
  <c r="BO517" i="3"/>
  <c r="BP517" i="3"/>
  <c r="BQ517" i="3"/>
  <c r="BR517" i="3"/>
  <c r="BS517" i="3"/>
  <c r="BT517" i="3"/>
  <c r="BL517" i="3"/>
  <c r="AZ517" i="3"/>
  <c r="BC518" i="3"/>
  <c r="BD518" i="3"/>
  <c r="BF518" i="3"/>
  <c r="BG518" i="3"/>
  <c r="BH518" i="3"/>
  <c r="BI518" i="3"/>
  <c r="BJ518" i="3"/>
  <c r="BK518" i="3"/>
  <c r="BA518" i="3"/>
  <c r="BM518" i="3"/>
  <c r="BN518" i="3"/>
  <c r="BO518" i="3"/>
  <c r="BP518" i="3"/>
  <c r="BQ518" i="3"/>
  <c r="BR518" i="3"/>
  <c r="BS518" i="3"/>
  <c r="BT518" i="3"/>
  <c r="BL518" i="3"/>
  <c r="AZ518" i="3"/>
  <c r="BC519" i="3"/>
  <c r="BD519" i="3"/>
  <c r="BF519" i="3"/>
  <c r="BG519" i="3"/>
  <c r="BH519" i="3"/>
  <c r="BI519" i="3"/>
  <c r="BJ519" i="3"/>
  <c r="BK519" i="3"/>
  <c r="BA519" i="3"/>
  <c r="BM519" i="3"/>
  <c r="BN519" i="3"/>
  <c r="BO519" i="3"/>
  <c r="BP519" i="3"/>
  <c r="BQ519" i="3"/>
  <c r="BR519" i="3"/>
  <c r="BS519" i="3"/>
  <c r="BT519" i="3"/>
  <c r="BL519" i="3"/>
  <c r="AZ519" i="3"/>
  <c r="BC520" i="3"/>
  <c r="BD520" i="3"/>
  <c r="BF520" i="3"/>
  <c r="BG520" i="3"/>
  <c r="BH520" i="3"/>
  <c r="BI520" i="3"/>
  <c r="BJ520" i="3"/>
  <c r="BK520" i="3"/>
  <c r="BA520" i="3"/>
  <c r="BM520" i="3"/>
  <c r="BN520" i="3"/>
  <c r="BO520" i="3"/>
  <c r="BP520" i="3"/>
  <c r="BQ520" i="3"/>
  <c r="BR520" i="3"/>
  <c r="BS520" i="3"/>
  <c r="BT520" i="3"/>
  <c r="BL520" i="3"/>
  <c r="AZ520" i="3"/>
  <c r="BC521" i="3"/>
  <c r="BD521" i="3"/>
  <c r="BF521" i="3"/>
  <c r="BG521" i="3"/>
  <c r="BH521" i="3"/>
  <c r="BI521" i="3"/>
  <c r="BJ521" i="3"/>
  <c r="BK521" i="3"/>
  <c r="BA521" i="3"/>
  <c r="BM521" i="3"/>
  <c r="BN521" i="3"/>
  <c r="BO521" i="3"/>
  <c r="BP521" i="3"/>
  <c r="BQ521" i="3"/>
  <c r="BR521" i="3"/>
  <c r="BS521" i="3"/>
  <c r="BT521" i="3"/>
  <c r="BL521" i="3"/>
  <c r="AZ521" i="3"/>
  <c r="BC522" i="3"/>
  <c r="BD522" i="3"/>
  <c r="BF522" i="3"/>
  <c r="BG522" i="3"/>
  <c r="BH522" i="3"/>
  <c r="BI522" i="3"/>
  <c r="BJ522" i="3"/>
  <c r="BK522" i="3"/>
  <c r="BA522" i="3"/>
  <c r="BM522" i="3"/>
  <c r="BN522" i="3"/>
  <c r="BO522" i="3"/>
  <c r="BP522" i="3"/>
  <c r="BQ522" i="3"/>
  <c r="BR522" i="3"/>
  <c r="BS522" i="3"/>
  <c r="BT522" i="3"/>
  <c r="BL522" i="3"/>
  <c r="AZ522" i="3"/>
  <c r="BC523" i="3"/>
  <c r="BD523" i="3"/>
  <c r="BF523" i="3"/>
  <c r="BG523" i="3"/>
  <c r="BH523" i="3"/>
  <c r="BI523" i="3"/>
  <c r="BJ523" i="3"/>
  <c r="BK523" i="3"/>
  <c r="BA523" i="3"/>
  <c r="BM523" i="3"/>
  <c r="BN523" i="3"/>
  <c r="BO523" i="3"/>
  <c r="BP523" i="3"/>
  <c r="BQ523" i="3"/>
  <c r="BR523" i="3"/>
  <c r="BS523" i="3"/>
  <c r="BT523" i="3"/>
  <c r="BL523" i="3"/>
  <c r="AZ523" i="3"/>
  <c r="BC524" i="3"/>
  <c r="BD524" i="3"/>
  <c r="BF524" i="3"/>
  <c r="BG524" i="3"/>
  <c r="BH524" i="3"/>
  <c r="BI524" i="3"/>
  <c r="BJ524" i="3"/>
  <c r="BK524" i="3"/>
  <c r="BA524" i="3"/>
  <c r="BM524" i="3"/>
  <c r="BN524" i="3"/>
  <c r="BO524" i="3"/>
  <c r="BP524" i="3"/>
  <c r="BQ524" i="3"/>
  <c r="BR524" i="3"/>
  <c r="BS524" i="3"/>
  <c r="BT524" i="3"/>
  <c r="BL524" i="3"/>
  <c r="AZ524" i="3"/>
  <c r="BC525" i="3"/>
  <c r="BD525" i="3"/>
  <c r="BF525" i="3"/>
  <c r="BG525" i="3"/>
  <c r="BH525" i="3"/>
  <c r="BI525" i="3"/>
  <c r="BJ525" i="3"/>
  <c r="BK525" i="3"/>
  <c r="BA525" i="3"/>
  <c r="BM525" i="3"/>
  <c r="BN525" i="3"/>
  <c r="BO525" i="3"/>
  <c r="BP525" i="3"/>
  <c r="BQ525" i="3"/>
  <c r="BR525" i="3"/>
  <c r="BS525" i="3"/>
  <c r="BT525" i="3"/>
  <c r="BL525" i="3"/>
  <c r="AZ525" i="3"/>
  <c r="BC526" i="3"/>
  <c r="BD526" i="3"/>
  <c r="BF526" i="3"/>
  <c r="BG526" i="3"/>
  <c r="BH526" i="3"/>
  <c r="BI526" i="3"/>
  <c r="BJ526" i="3"/>
  <c r="BK526" i="3"/>
  <c r="BA526" i="3"/>
  <c r="BM526" i="3"/>
  <c r="BN526" i="3"/>
  <c r="BO526" i="3"/>
  <c r="BP526" i="3"/>
  <c r="BQ526" i="3"/>
  <c r="BR526" i="3"/>
  <c r="BS526" i="3"/>
  <c r="BT526" i="3"/>
  <c r="BL526" i="3"/>
  <c r="AZ526" i="3"/>
  <c r="BC527" i="3"/>
  <c r="BD527" i="3"/>
  <c r="BF527" i="3"/>
  <c r="BG527" i="3"/>
  <c r="BH527" i="3"/>
  <c r="BI527" i="3"/>
  <c r="BJ527" i="3"/>
  <c r="BK527" i="3"/>
  <c r="BA527" i="3"/>
  <c r="BM527" i="3"/>
  <c r="BN527" i="3"/>
  <c r="BO527" i="3"/>
  <c r="BP527" i="3"/>
  <c r="BQ527" i="3"/>
  <c r="BR527" i="3"/>
  <c r="BS527" i="3"/>
  <c r="BT527" i="3"/>
  <c r="BL527" i="3"/>
  <c r="AZ527" i="3"/>
  <c r="BC528" i="3"/>
  <c r="BD528" i="3"/>
  <c r="BF528" i="3"/>
  <c r="BG528" i="3"/>
  <c r="BH528" i="3"/>
  <c r="BI528" i="3"/>
  <c r="BJ528" i="3"/>
  <c r="BK528" i="3"/>
  <c r="BA528" i="3"/>
  <c r="BM528" i="3"/>
  <c r="BN528" i="3"/>
  <c r="BO528" i="3"/>
  <c r="BP528" i="3"/>
  <c r="BQ528" i="3"/>
  <c r="BR528" i="3"/>
  <c r="BS528" i="3"/>
  <c r="BT528" i="3"/>
  <c r="BL528" i="3"/>
  <c r="AZ528" i="3"/>
  <c r="BC529" i="3"/>
  <c r="BD529" i="3"/>
  <c r="BF529" i="3"/>
  <c r="BG529" i="3"/>
  <c r="BH529" i="3"/>
  <c r="BI529" i="3"/>
  <c r="BJ529" i="3"/>
  <c r="BK529" i="3"/>
  <c r="BA529" i="3"/>
  <c r="BM529" i="3"/>
  <c r="BN529" i="3"/>
  <c r="BO529" i="3"/>
  <c r="BP529" i="3"/>
  <c r="BQ529" i="3"/>
  <c r="BR529" i="3"/>
  <c r="BS529" i="3"/>
  <c r="BT529" i="3"/>
  <c r="BL529" i="3"/>
  <c r="AZ529" i="3"/>
  <c r="BC530" i="3"/>
  <c r="BD530" i="3"/>
  <c r="BF530" i="3"/>
  <c r="BG530" i="3"/>
  <c r="BH530" i="3"/>
  <c r="BI530" i="3"/>
  <c r="BJ530" i="3"/>
  <c r="BK530" i="3"/>
  <c r="BA530" i="3"/>
  <c r="BM530" i="3"/>
  <c r="BN530" i="3"/>
  <c r="BO530" i="3"/>
  <c r="BP530" i="3"/>
  <c r="BQ530" i="3"/>
  <c r="BR530" i="3"/>
  <c r="BS530" i="3"/>
  <c r="BT530" i="3"/>
  <c r="BL530" i="3"/>
  <c r="AZ530" i="3"/>
  <c r="BC531" i="3"/>
  <c r="BD531" i="3"/>
  <c r="BF531" i="3"/>
  <c r="BG531" i="3"/>
  <c r="BH531" i="3"/>
  <c r="BI531" i="3"/>
  <c r="BJ531" i="3"/>
  <c r="BK531" i="3"/>
  <c r="BA531" i="3"/>
  <c r="BM531" i="3"/>
  <c r="BN531" i="3"/>
  <c r="BO531" i="3"/>
  <c r="BP531" i="3"/>
  <c r="BQ531" i="3"/>
  <c r="BR531" i="3"/>
  <c r="BS531" i="3"/>
  <c r="BT531" i="3"/>
  <c r="BL531" i="3"/>
  <c r="AZ531" i="3"/>
  <c r="BC532" i="3"/>
  <c r="BD532" i="3"/>
  <c r="BF532" i="3"/>
  <c r="BG532" i="3"/>
  <c r="BH532" i="3"/>
  <c r="BI532" i="3"/>
  <c r="BJ532" i="3"/>
  <c r="BK532" i="3"/>
  <c r="BA532" i="3"/>
  <c r="BM532" i="3"/>
  <c r="BN532" i="3"/>
  <c r="BO532" i="3"/>
  <c r="BP532" i="3"/>
  <c r="BQ532" i="3"/>
  <c r="BR532" i="3"/>
  <c r="BS532" i="3"/>
  <c r="BT532" i="3"/>
  <c r="BL532" i="3"/>
  <c r="AZ532" i="3"/>
  <c r="BC533" i="3"/>
  <c r="BD533" i="3"/>
  <c r="BF533" i="3"/>
  <c r="BG533" i="3"/>
  <c r="BH533" i="3"/>
  <c r="BI533" i="3"/>
  <c r="BJ533" i="3"/>
  <c r="BK533" i="3"/>
  <c r="BA533" i="3"/>
  <c r="BM533" i="3"/>
  <c r="BN533" i="3"/>
  <c r="BO533" i="3"/>
  <c r="BP533" i="3"/>
  <c r="BQ533" i="3"/>
  <c r="BR533" i="3"/>
  <c r="BS533" i="3"/>
  <c r="BT533" i="3"/>
  <c r="BL533" i="3"/>
  <c r="AZ533" i="3"/>
  <c r="BC534" i="3"/>
  <c r="BD534" i="3"/>
  <c r="BF534" i="3"/>
  <c r="BG534" i="3"/>
  <c r="BH534" i="3"/>
  <c r="BI534" i="3"/>
  <c r="BJ534" i="3"/>
  <c r="BK534" i="3"/>
  <c r="BA534" i="3"/>
  <c r="BM534" i="3"/>
  <c r="BN534" i="3"/>
  <c r="BO534" i="3"/>
  <c r="BP534" i="3"/>
  <c r="BQ534" i="3"/>
  <c r="BR534" i="3"/>
  <c r="BS534" i="3"/>
  <c r="BT534" i="3"/>
  <c r="BL534" i="3"/>
  <c r="AZ534" i="3"/>
  <c r="BC535" i="3"/>
  <c r="BD535" i="3"/>
  <c r="BF535" i="3"/>
  <c r="BG535" i="3"/>
  <c r="BH535" i="3"/>
  <c r="BI535" i="3"/>
  <c r="BJ535" i="3"/>
  <c r="BK535" i="3"/>
  <c r="BA535" i="3"/>
  <c r="BM535" i="3"/>
  <c r="BN535" i="3"/>
  <c r="BO535" i="3"/>
  <c r="BP535" i="3"/>
  <c r="BQ535" i="3"/>
  <c r="BR535" i="3"/>
  <c r="BS535" i="3"/>
  <c r="BT535" i="3"/>
  <c r="BL535" i="3"/>
  <c r="AZ535" i="3"/>
  <c r="BC536" i="3"/>
  <c r="BD536" i="3"/>
  <c r="BF536" i="3"/>
  <c r="BG536" i="3"/>
  <c r="BH536" i="3"/>
  <c r="BI536" i="3"/>
  <c r="BJ536" i="3"/>
  <c r="BK536" i="3"/>
  <c r="BA536" i="3"/>
  <c r="BM536" i="3"/>
  <c r="BN536" i="3"/>
  <c r="BO536" i="3"/>
  <c r="BP536" i="3"/>
  <c r="BQ536" i="3"/>
  <c r="BR536" i="3"/>
  <c r="BS536" i="3"/>
  <c r="BT536" i="3"/>
  <c r="BL536" i="3"/>
  <c r="AZ536" i="3"/>
  <c r="BC537" i="3"/>
  <c r="BD537" i="3"/>
  <c r="BF537" i="3"/>
  <c r="BG537" i="3"/>
  <c r="BH537" i="3"/>
  <c r="BI537" i="3"/>
  <c r="BJ537" i="3"/>
  <c r="BK537" i="3"/>
  <c r="BA537" i="3"/>
  <c r="BM537" i="3"/>
  <c r="BN537" i="3"/>
  <c r="BO537" i="3"/>
  <c r="BP537" i="3"/>
  <c r="BQ537" i="3"/>
  <c r="BR537" i="3"/>
  <c r="BS537" i="3"/>
  <c r="BT537" i="3"/>
  <c r="BL537" i="3"/>
  <c r="AZ537" i="3"/>
  <c r="BC538" i="3"/>
  <c r="BD538" i="3"/>
  <c r="BF538" i="3"/>
  <c r="BG538" i="3"/>
  <c r="BH538" i="3"/>
  <c r="BI538" i="3"/>
  <c r="BJ538" i="3"/>
  <c r="BK538" i="3"/>
  <c r="BA538" i="3"/>
  <c r="BM538" i="3"/>
  <c r="BN538" i="3"/>
  <c r="BO538" i="3"/>
  <c r="BP538" i="3"/>
  <c r="BQ538" i="3"/>
  <c r="BR538" i="3"/>
  <c r="BS538" i="3"/>
  <c r="BT538" i="3"/>
  <c r="BL538" i="3"/>
  <c r="AZ538" i="3"/>
  <c r="BC539" i="3"/>
  <c r="BD539" i="3"/>
  <c r="BF539" i="3"/>
  <c r="BG539" i="3"/>
  <c r="BH539" i="3"/>
  <c r="BI539" i="3"/>
  <c r="BJ539" i="3"/>
  <c r="BK539" i="3"/>
  <c r="BA539" i="3"/>
  <c r="BM539" i="3"/>
  <c r="BN539" i="3"/>
  <c r="BO539" i="3"/>
  <c r="BP539" i="3"/>
  <c r="BQ539" i="3"/>
  <c r="BR539" i="3"/>
  <c r="BS539" i="3"/>
  <c r="BT539" i="3"/>
  <c r="BL539" i="3"/>
  <c r="AZ539" i="3"/>
  <c r="BC540" i="3"/>
  <c r="BD540" i="3"/>
  <c r="BF540" i="3"/>
  <c r="BG540" i="3"/>
  <c r="BH540" i="3"/>
  <c r="BI540" i="3"/>
  <c r="BJ540" i="3"/>
  <c r="BK540" i="3"/>
  <c r="BA540" i="3"/>
  <c r="BM540" i="3"/>
  <c r="BN540" i="3"/>
  <c r="BO540" i="3"/>
  <c r="BP540" i="3"/>
  <c r="BQ540" i="3"/>
  <c r="BR540" i="3"/>
  <c r="BS540" i="3"/>
  <c r="BT540" i="3"/>
  <c r="BL540" i="3"/>
  <c r="AZ540" i="3"/>
  <c r="BC541" i="3"/>
  <c r="BD541" i="3"/>
  <c r="BF541" i="3"/>
  <c r="BG541" i="3"/>
  <c r="BH541" i="3"/>
  <c r="BI541" i="3"/>
  <c r="BJ541" i="3"/>
  <c r="BK541" i="3"/>
  <c r="BA541" i="3"/>
  <c r="BM541" i="3"/>
  <c r="BN541" i="3"/>
  <c r="BO541" i="3"/>
  <c r="BP541" i="3"/>
  <c r="BQ541" i="3"/>
  <c r="BR541" i="3"/>
  <c r="BS541" i="3"/>
  <c r="BT541" i="3"/>
  <c r="BL541" i="3"/>
  <c r="AZ541" i="3"/>
  <c r="BC542" i="3"/>
  <c r="BD542" i="3"/>
  <c r="BF542" i="3"/>
  <c r="BG542" i="3"/>
  <c r="BH542" i="3"/>
  <c r="BI542" i="3"/>
  <c r="BJ542" i="3"/>
  <c r="BK542" i="3"/>
  <c r="BA542" i="3"/>
  <c r="BM542" i="3"/>
  <c r="BN542" i="3"/>
  <c r="BO542" i="3"/>
  <c r="BP542" i="3"/>
  <c r="BQ542" i="3"/>
  <c r="BR542" i="3"/>
  <c r="BS542" i="3"/>
  <c r="BT542" i="3"/>
  <c r="BL542" i="3"/>
  <c r="AZ542" i="3"/>
  <c r="BC543" i="3"/>
  <c r="BD543" i="3"/>
  <c r="BF543" i="3"/>
  <c r="BG543" i="3"/>
  <c r="BH543" i="3"/>
  <c r="BI543" i="3"/>
  <c r="BJ543" i="3"/>
  <c r="BK543" i="3"/>
  <c r="BA543" i="3"/>
  <c r="BM543" i="3"/>
  <c r="BN543" i="3"/>
  <c r="BO543" i="3"/>
  <c r="BP543" i="3"/>
  <c r="BQ543" i="3"/>
  <c r="BR543" i="3"/>
  <c r="BS543" i="3"/>
  <c r="BT543" i="3"/>
  <c r="BL543" i="3"/>
  <c r="AZ543" i="3"/>
  <c r="BC544" i="3"/>
  <c r="BD544" i="3"/>
  <c r="BF544" i="3"/>
  <c r="BG544" i="3"/>
  <c r="BH544" i="3"/>
  <c r="BI544" i="3"/>
  <c r="BJ544" i="3"/>
  <c r="BK544" i="3"/>
  <c r="BA544" i="3"/>
  <c r="BM544" i="3"/>
  <c r="BN544" i="3"/>
  <c r="BO544" i="3"/>
  <c r="BP544" i="3"/>
  <c r="BQ544" i="3"/>
  <c r="BR544" i="3"/>
  <c r="BS544" i="3"/>
  <c r="BT544" i="3"/>
  <c r="BL544" i="3"/>
  <c r="AZ544" i="3"/>
  <c r="BC545" i="3"/>
  <c r="BD545" i="3"/>
  <c r="BF545" i="3"/>
  <c r="BG545" i="3"/>
  <c r="BH545" i="3"/>
  <c r="BI545" i="3"/>
  <c r="BJ545" i="3"/>
  <c r="BK545" i="3"/>
  <c r="BA545" i="3"/>
  <c r="BM545" i="3"/>
  <c r="BN545" i="3"/>
  <c r="BO545" i="3"/>
  <c r="BP545" i="3"/>
  <c r="BQ545" i="3"/>
  <c r="BR545" i="3"/>
  <c r="BS545" i="3"/>
  <c r="BT545" i="3"/>
  <c r="BL545" i="3"/>
  <c r="AZ545" i="3"/>
  <c r="BC546" i="3"/>
  <c r="BD546" i="3"/>
  <c r="BF546" i="3"/>
  <c r="BG546" i="3"/>
  <c r="BH546" i="3"/>
  <c r="BI546" i="3"/>
  <c r="BJ546" i="3"/>
  <c r="BK546" i="3"/>
  <c r="BA546" i="3"/>
  <c r="BM546" i="3"/>
  <c r="BN546" i="3"/>
  <c r="BO546" i="3"/>
  <c r="BP546" i="3"/>
  <c r="BQ546" i="3"/>
  <c r="BR546" i="3"/>
  <c r="BS546" i="3"/>
  <c r="BT546" i="3"/>
  <c r="BL546" i="3"/>
  <c r="AZ546" i="3"/>
  <c r="BC547" i="3"/>
  <c r="BD547" i="3"/>
  <c r="BF547" i="3"/>
  <c r="BG547" i="3"/>
  <c r="BH547" i="3"/>
  <c r="BI547" i="3"/>
  <c r="BJ547" i="3"/>
  <c r="BK547" i="3"/>
  <c r="BA547" i="3"/>
  <c r="BM547" i="3"/>
  <c r="BN547" i="3"/>
  <c r="BO547" i="3"/>
  <c r="BP547" i="3"/>
  <c r="BQ547" i="3"/>
  <c r="BR547" i="3"/>
  <c r="BS547" i="3"/>
  <c r="BT547" i="3"/>
  <c r="BL547" i="3"/>
  <c r="AZ547" i="3"/>
  <c r="BC548" i="3"/>
  <c r="BD548" i="3"/>
  <c r="BF548" i="3"/>
  <c r="BG548" i="3"/>
  <c r="BH548" i="3"/>
  <c r="BI548" i="3"/>
  <c r="BJ548" i="3"/>
  <c r="BK548" i="3"/>
  <c r="BA548" i="3"/>
  <c r="BM548" i="3"/>
  <c r="BN548" i="3"/>
  <c r="BO548" i="3"/>
  <c r="BP548" i="3"/>
  <c r="BQ548" i="3"/>
  <c r="BR548" i="3"/>
  <c r="BS548" i="3"/>
  <c r="BT548" i="3"/>
  <c r="BL548" i="3"/>
  <c r="AZ548" i="3"/>
  <c r="BC549" i="3"/>
  <c r="BD549" i="3"/>
  <c r="BF549" i="3"/>
  <c r="BG549" i="3"/>
  <c r="BH549" i="3"/>
  <c r="BI549" i="3"/>
  <c r="BJ549" i="3"/>
  <c r="BK549" i="3"/>
  <c r="BA549" i="3"/>
  <c r="BM549" i="3"/>
  <c r="BN549" i="3"/>
  <c r="BO549" i="3"/>
  <c r="BP549" i="3"/>
  <c r="BQ549" i="3"/>
  <c r="BR549" i="3"/>
  <c r="BS549" i="3"/>
  <c r="BT549" i="3"/>
  <c r="BL549" i="3"/>
  <c r="AZ549" i="3"/>
  <c r="BC550" i="3"/>
  <c r="BD550" i="3"/>
  <c r="BF550" i="3"/>
  <c r="BG550" i="3"/>
  <c r="BH550" i="3"/>
  <c r="BI550" i="3"/>
  <c r="BJ550" i="3"/>
  <c r="BK550" i="3"/>
  <c r="BA550" i="3"/>
  <c r="BM550" i="3"/>
  <c r="BN550" i="3"/>
  <c r="BO550" i="3"/>
  <c r="BP550" i="3"/>
  <c r="BQ550" i="3"/>
  <c r="BR550" i="3"/>
  <c r="BS550" i="3"/>
  <c r="BT550" i="3"/>
  <c r="BL550" i="3"/>
  <c r="AZ550" i="3"/>
  <c r="BC551" i="3"/>
  <c r="BD551" i="3"/>
  <c r="BF551" i="3"/>
  <c r="BG551" i="3"/>
  <c r="BH551" i="3"/>
  <c r="BI551" i="3"/>
  <c r="BJ551" i="3"/>
  <c r="BK551" i="3"/>
  <c r="BA551" i="3"/>
  <c r="BM551" i="3"/>
  <c r="BN551" i="3"/>
  <c r="BO551" i="3"/>
  <c r="BP551" i="3"/>
  <c r="BQ551" i="3"/>
  <c r="BR551" i="3"/>
  <c r="BS551" i="3"/>
  <c r="BT551" i="3"/>
  <c r="BL551" i="3"/>
  <c r="AZ551" i="3"/>
  <c r="BC552" i="3"/>
  <c r="BD552" i="3"/>
  <c r="BF552" i="3"/>
  <c r="BG552" i="3"/>
  <c r="BH552" i="3"/>
  <c r="BI552" i="3"/>
  <c r="BJ552" i="3"/>
  <c r="BK552" i="3"/>
  <c r="BA552" i="3"/>
  <c r="BM552" i="3"/>
  <c r="BN552" i="3"/>
  <c r="BO552" i="3"/>
  <c r="BP552" i="3"/>
  <c r="BQ552" i="3"/>
  <c r="BR552" i="3"/>
  <c r="BS552" i="3"/>
  <c r="BT552" i="3"/>
  <c r="BL552" i="3"/>
  <c r="AZ552" i="3"/>
  <c r="BC553" i="3"/>
  <c r="BD553" i="3"/>
  <c r="BF553" i="3"/>
  <c r="BG553" i="3"/>
  <c r="BH553" i="3"/>
  <c r="BI553" i="3"/>
  <c r="BJ553" i="3"/>
  <c r="BK553" i="3"/>
  <c r="BA553" i="3"/>
  <c r="BM553" i="3"/>
  <c r="BN553" i="3"/>
  <c r="BO553" i="3"/>
  <c r="BP553" i="3"/>
  <c r="BQ553" i="3"/>
  <c r="BR553" i="3"/>
  <c r="BS553" i="3"/>
  <c r="BT553" i="3"/>
  <c r="BL553" i="3"/>
  <c r="AZ553" i="3"/>
  <c r="BC554" i="3"/>
  <c r="BD554" i="3"/>
  <c r="BF554" i="3"/>
  <c r="BG554" i="3"/>
  <c r="BH554" i="3"/>
  <c r="BI554" i="3"/>
  <c r="BJ554" i="3"/>
  <c r="BK554" i="3"/>
  <c r="BA554" i="3"/>
  <c r="BM554" i="3"/>
  <c r="BN554" i="3"/>
  <c r="BO554" i="3"/>
  <c r="BP554" i="3"/>
  <c r="BQ554" i="3"/>
  <c r="BR554" i="3"/>
  <c r="BS554" i="3"/>
  <c r="BT554" i="3"/>
  <c r="BL554" i="3"/>
  <c r="AZ554" i="3"/>
  <c r="BC555" i="3"/>
  <c r="BD555" i="3"/>
  <c r="BF555" i="3"/>
  <c r="BG555" i="3"/>
  <c r="BH555" i="3"/>
  <c r="BI555" i="3"/>
  <c r="BJ555" i="3"/>
  <c r="BK555" i="3"/>
  <c r="BA555" i="3"/>
  <c r="BM555" i="3"/>
  <c r="BN555" i="3"/>
  <c r="BO555" i="3"/>
  <c r="BP555" i="3"/>
  <c r="BQ555" i="3"/>
  <c r="BR555" i="3"/>
  <c r="BS555" i="3"/>
  <c r="BT555" i="3"/>
  <c r="BL555" i="3"/>
  <c r="AZ555" i="3"/>
  <c r="BC556" i="3"/>
  <c r="BD556" i="3"/>
  <c r="BF556" i="3"/>
  <c r="BG556" i="3"/>
  <c r="BH556" i="3"/>
  <c r="BI556" i="3"/>
  <c r="BJ556" i="3"/>
  <c r="BK556" i="3"/>
  <c r="BA556" i="3"/>
  <c r="BM556" i="3"/>
  <c r="BN556" i="3"/>
  <c r="BO556" i="3"/>
  <c r="BP556" i="3"/>
  <c r="BQ556" i="3"/>
  <c r="BR556" i="3"/>
  <c r="BS556" i="3"/>
  <c r="BT556" i="3"/>
  <c r="BL556" i="3"/>
  <c r="AZ556" i="3"/>
  <c r="BC557" i="3"/>
  <c r="BD557" i="3"/>
  <c r="BF557" i="3"/>
  <c r="BG557" i="3"/>
  <c r="BH557" i="3"/>
  <c r="BI557" i="3"/>
  <c r="BJ557" i="3"/>
  <c r="BK557" i="3"/>
  <c r="BA557" i="3"/>
  <c r="BM557" i="3"/>
  <c r="BN557" i="3"/>
  <c r="BO557" i="3"/>
  <c r="BP557" i="3"/>
  <c r="BQ557" i="3"/>
  <c r="BR557" i="3"/>
  <c r="BS557" i="3"/>
  <c r="BT557" i="3"/>
  <c r="BL557" i="3"/>
  <c r="AZ557" i="3"/>
  <c r="BC558" i="3"/>
  <c r="BD558" i="3"/>
  <c r="BF558" i="3"/>
  <c r="BG558" i="3"/>
  <c r="BH558" i="3"/>
  <c r="BI558" i="3"/>
  <c r="BJ558" i="3"/>
  <c r="BK558" i="3"/>
  <c r="BA558" i="3"/>
  <c r="BM558" i="3"/>
  <c r="BN558" i="3"/>
  <c r="BO558" i="3"/>
  <c r="BP558" i="3"/>
  <c r="BQ558" i="3"/>
  <c r="BR558" i="3"/>
  <c r="BS558" i="3"/>
  <c r="BT558" i="3"/>
  <c r="BL558" i="3"/>
  <c r="AZ558" i="3"/>
  <c r="BC559" i="3"/>
  <c r="BD559" i="3"/>
  <c r="BF559" i="3"/>
  <c r="BG559" i="3"/>
  <c r="BH559" i="3"/>
  <c r="BI559" i="3"/>
  <c r="BJ559" i="3"/>
  <c r="BK559" i="3"/>
  <c r="BA559" i="3"/>
  <c r="BM559" i="3"/>
  <c r="BN559" i="3"/>
  <c r="BO559" i="3"/>
  <c r="BP559" i="3"/>
  <c r="BQ559" i="3"/>
  <c r="BR559" i="3"/>
  <c r="BS559" i="3"/>
  <c r="BT559" i="3"/>
  <c r="BL559" i="3"/>
  <c r="AZ559" i="3"/>
  <c r="BC560" i="3"/>
  <c r="BD560" i="3"/>
  <c r="BF560" i="3"/>
  <c r="BG560" i="3"/>
  <c r="BH560" i="3"/>
  <c r="BI560" i="3"/>
  <c r="BJ560" i="3"/>
  <c r="BK560" i="3"/>
  <c r="BA560" i="3"/>
  <c r="BM560" i="3"/>
  <c r="BN560" i="3"/>
  <c r="BO560" i="3"/>
  <c r="BP560" i="3"/>
  <c r="BQ560" i="3"/>
  <c r="BR560" i="3"/>
  <c r="BS560" i="3"/>
  <c r="BT560" i="3"/>
  <c r="BL560" i="3"/>
  <c r="AZ560" i="3"/>
  <c r="BC561" i="3"/>
  <c r="BD561" i="3"/>
  <c r="BF561" i="3"/>
  <c r="BG561" i="3"/>
  <c r="BH561" i="3"/>
  <c r="BI561" i="3"/>
  <c r="BJ561" i="3"/>
  <c r="BK561" i="3"/>
  <c r="BA561" i="3"/>
  <c r="BM561" i="3"/>
  <c r="BN561" i="3"/>
  <c r="BO561" i="3"/>
  <c r="BP561" i="3"/>
  <c r="BQ561" i="3"/>
  <c r="BR561" i="3"/>
  <c r="BS561" i="3"/>
  <c r="BT561" i="3"/>
  <c r="BL561" i="3"/>
  <c r="AZ561" i="3"/>
  <c r="BC562" i="3"/>
  <c r="BD562" i="3"/>
  <c r="BF562" i="3"/>
  <c r="BG562" i="3"/>
  <c r="BH562" i="3"/>
  <c r="BI562" i="3"/>
  <c r="BJ562" i="3"/>
  <c r="BK562" i="3"/>
  <c r="BA562" i="3"/>
  <c r="BM562" i="3"/>
  <c r="BN562" i="3"/>
  <c r="BO562" i="3"/>
  <c r="BP562" i="3"/>
  <c r="BQ562" i="3"/>
  <c r="BR562" i="3"/>
  <c r="BS562" i="3"/>
  <c r="BT562" i="3"/>
  <c r="BL562" i="3"/>
  <c r="AZ562" i="3"/>
  <c r="BC563" i="3"/>
  <c r="BD563" i="3"/>
  <c r="BF563" i="3"/>
  <c r="BG563" i="3"/>
  <c r="BH563" i="3"/>
  <c r="BI563" i="3"/>
  <c r="BJ563" i="3"/>
  <c r="BK563" i="3"/>
  <c r="BA563" i="3"/>
  <c r="BM563" i="3"/>
  <c r="BN563" i="3"/>
  <c r="BO563" i="3"/>
  <c r="BP563" i="3"/>
  <c r="BQ563" i="3"/>
  <c r="BR563" i="3"/>
  <c r="BS563" i="3"/>
  <c r="BT563" i="3"/>
  <c r="BL563" i="3"/>
  <c r="AZ563" i="3"/>
  <c r="BC564" i="3"/>
  <c r="BD564" i="3"/>
  <c r="BF564" i="3"/>
  <c r="BG564" i="3"/>
  <c r="BH564" i="3"/>
  <c r="BI564" i="3"/>
  <c r="BJ564" i="3"/>
  <c r="BK564" i="3"/>
  <c r="BA564" i="3"/>
  <c r="BM564" i="3"/>
  <c r="BN564" i="3"/>
  <c r="BO564" i="3"/>
  <c r="BP564" i="3"/>
  <c r="BQ564" i="3"/>
  <c r="BR564" i="3"/>
  <c r="BS564" i="3"/>
  <c r="BT564" i="3"/>
  <c r="BL564" i="3"/>
  <c r="AZ564" i="3"/>
  <c r="BC565" i="3"/>
  <c r="BD565" i="3"/>
  <c r="BF565" i="3"/>
  <c r="BG565" i="3"/>
  <c r="BH565" i="3"/>
  <c r="BI565" i="3"/>
  <c r="BJ565" i="3"/>
  <c r="BK565" i="3"/>
  <c r="BA565" i="3"/>
  <c r="BM565" i="3"/>
  <c r="BN565" i="3"/>
  <c r="BO565" i="3"/>
  <c r="BP565" i="3"/>
  <c r="BQ565" i="3"/>
  <c r="BR565" i="3"/>
  <c r="BS565" i="3"/>
  <c r="BT565" i="3"/>
  <c r="BL565" i="3"/>
  <c r="AZ565" i="3"/>
  <c r="BC566" i="3"/>
  <c r="BD566" i="3"/>
  <c r="BF566" i="3"/>
  <c r="BG566" i="3"/>
  <c r="BH566" i="3"/>
  <c r="BI566" i="3"/>
  <c r="BJ566" i="3"/>
  <c r="BK566" i="3"/>
  <c r="BA566" i="3"/>
  <c r="BM566" i="3"/>
  <c r="BN566" i="3"/>
  <c r="BO566" i="3"/>
  <c r="BP566" i="3"/>
  <c r="BQ566" i="3"/>
  <c r="BR566" i="3"/>
  <c r="BS566" i="3"/>
  <c r="BT566" i="3"/>
  <c r="BL566" i="3"/>
  <c r="AZ566" i="3"/>
  <c r="BC567" i="3"/>
  <c r="BD567" i="3"/>
  <c r="BF567" i="3"/>
  <c r="BG567" i="3"/>
  <c r="BH567" i="3"/>
  <c r="BI567" i="3"/>
  <c r="BJ567" i="3"/>
  <c r="BK567" i="3"/>
  <c r="BA567" i="3"/>
  <c r="BM567" i="3"/>
  <c r="BN567" i="3"/>
  <c r="BO567" i="3"/>
  <c r="BP567" i="3"/>
  <c r="BQ567" i="3"/>
  <c r="BR567" i="3"/>
  <c r="BS567" i="3"/>
  <c r="BT567" i="3"/>
  <c r="BL567" i="3"/>
  <c r="AZ567" i="3"/>
  <c r="BC568" i="3"/>
  <c r="BD568" i="3"/>
  <c r="BF568" i="3"/>
  <c r="BG568" i="3"/>
  <c r="BH568" i="3"/>
  <c r="BI568" i="3"/>
  <c r="BJ568" i="3"/>
  <c r="BK568" i="3"/>
  <c r="BA568" i="3"/>
  <c r="BM568" i="3"/>
  <c r="BN568" i="3"/>
  <c r="BO568" i="3"/>
  <c r="BP568" i="3"/>
  <c r="BQ568" i="3"/>
  <c r="BR568" i="3"/>
  <c r="BS568" i="3"/>
  <c r="BT568" i="3"/>
  <c r="BL568" i="3"/>
  <c r="AZ568" i="3"/>
  <c r="BC569" i="3"/>
  <c r="BD569" i="3"/>
  <c r="BF569" i="3"/>
  <c r="BG569" i="3"/>
  <c r="BH569" i="3"/>
  <c r="BI569" i="3"/>
  <c r="BJ569" i="3"/>
  <c r="BK569" i="3"/>
  <c r="BA569" i="3"/>
  <c r="BM569" i="3"/>
  <c r="BN569" i="3"/>
  <c r="BO569" i="3"/>
  <c r="BP569" i="3"/>
  <c r="BQ569" i="3"/>
  <c r="BR569" i="3"/>
  <c r="BS569" i="3"/>
  <c r="BT569" i="3"/>
  <c r="BL569" i="3"/>
  <c r="AZ569" i="3"/>
  <c r="BC570" i="3"/>
  <c r="BD570" i="3"/>
  <c r="BF570" i="3"/>
  <c r="BG570" i="3"/>
  <c r="BH570" i="3"/>
  <c r="BI570" i="3"/>
  <c r="BJ570" i="3"/>
  <c r="BK570" i="3"/>
  <c r="BA570" i="3"/>
  <c r="BM570" i="3"/>
  <c r="BN570" i="3"/>
  <c r="BO570" i="3"/>
  <c r="BP570" i="3"/>
  <c r="BQ570" i="3"/>
  <c r="BR570" i="3"/>
  <c r="BS570" i="3"/>
  <c r="BT570" i="3"/>
  <c r="BL570" i="3"/>
  <c r="AZ570" i="3"/>
  <c r="BC571" i="3"/>
  <c r="BD571" i="3"/>
  <c r="BF571" i="3"/>
  <c r="BG571" i="3"/>
  <c r="BH571" i="3"/>
  <c r="BI571" i="3"/>
  <c r="BJ571" i="3"/>
  <c r="BK571" i="3"/>
  <c r="BA571" i="3"/>
  <c r="BM571" i="3"/>
  <c r="BN571" i="3"/>
  <c r="BO571" i="3"/>
  <c r="BP571" i="3"/>
  <c r="BQ571" i="3"/>
  <c r="BR571" i="3"/>
  <c r="BS571" i="3"/>
  <c r="BT571" i="3"/>
  <c r="BL571" i="3"/>
  <c r="AZ571" i="3"/>
  <c r="BC572" i="3"/>
  <c r="BD572" i="3"/>
  <c r="BF572" i="3"/>
  <c r="BG572" i="3"/>
  <c r="BH572" i="3"/>
  <c r="BI572" i="3"/>
  <c r="BJ572" i="3"/>
  <c r="BK572" i="3"/>
  <c r="BA572" i="3"/>
  <c r="BM572" i="3"/>
  <c r="BN572" i="3"/>
  <c r="BO572" i="3"/>
  <c r="BP572" i="3"/>
  <c r="BQ572" i="3"/>
  <c r="BR572" i="3"/>
  <c r="BS572" i="3"/>
  <c r="BT572" i="3"/>
  <c r="BL572" i="3"/>
  <c r="AZ572" i="3"/>
  <c r="BC5" i="3"/>
  <c r="BD5" i="3"/>
  <c r="BG5" i="3"/>
  <c r="BH5" i="3"/>
  <c r="BI5" i="3"/>
  <c r="BJ5" i="3"/>
  <c r="BK5" i="3"/>
  <c r="BL5" i="3"/>
  <c r="E21" i="12"/>
  <c r="E22" i="12"/>
  <c r="K35" i="71"/>
  <c r="K23" i="71"/>
  <c r="K19" i="71"/>
  <c r="E47" i="71"/>
  <c r="G47" i="71"/>
  <c r="I47" i="71"/>
  <c r="F31" i="35"/>
  <c r="AA31" i="35"/>
  <c r="C26" i="35"/>
  <c r="C79" i="35"/>
  <c r="F26" i="35"/>
  <c r="AA26" i="35"/>
  <c r="F32" i="35"/>
  <c r="AA32" i="35"/>
  <c r="D68"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D84" i="35"/>
  <c r="F28" i="35"/>
  <c r="AA28" i="35"/>
  <c r="B2" i="1"/>
  <c r="C7" i="35"/>
  <c r="C48" i="35"/>
  <c r="D48" i="35"/>
  <c r="E48" i="35"/>
  <c r="F48" i="35"/>
  <c r="G48" i="35"/>
  <c r="H48" i="35"/>
  <c r="I48" i="35"/>
  <c r="J48" i="35"/>
  <c r="K48" i="35"/>
  <c r="L48" i="35"/>
  <c r="M48" i="35"/>
  <c r="N48" i="35"/>
  <c r="O48" i="35"/>
  <c r="F8" i="35"/>
  <c r="AA8" i="35"/>
  <c r="B57" i="35"/>
  <c r="F11" i="35"/>
  <c r="AA11" i="35"/>
  <c r="B59" i="35"/>
  <c r="F12" i="35"/>
  <c r="AA12" i="35"/>
  <c r="B61" i="35"/>
  <c r="F13" i="35"/>
  <c r="AA13" i="35"/>
  <c r="F22" i="35"/>
  <c r="AA22" i="35"/>
  <c r="B73" i="35"/>
  <c r="F23" i="35"/>
  <c r="AA23" i="35"/>
  <c r="B75" i="35"/>
  <c r="F24" i="35"/>
  <c r="AA24" i="35"/>
  <c r="B77" i="35"/>
  <c r="F25" i="35"/>
  <c r="AA25" i="35"/>
  <c r="F27" i="35"/>
  <c r="AA27" i="35"/>
  <c r="F30" i="35"/>
  <c r="AA30" i="35"/>
  <c r="F33" i="35"/>
  <c r="AA33" i="35"/>
  <c r="B97" i="35"/>
  <c r="F34" i="35"/>
  <c r="AA34" i="35"/>
  <c r="B99" i="35"/>
  <c r="F35" i="35"/>
  <c r="AA35" i="35"/>
  <c r="B101" i="35"/>
  <c r="F36" i="35"/>
  <c r="AA36" i="35"/>
  <c r="H31" i="35"/>
  <c r="AB31" i="35"/>
  <c r="H26" i="35"/>
  <c r="AB26" i="35"/>
  <c r="H32" i="35"/>
  <c r="AB32" i="35"/>
  <c r="H18" i="35"/>
  <c r="AB18" i="35"/>
  <c r="H29" i="35"/>
  <c r="AB29" i="35"/>
  <c r="H9" i="35"/>
  <c r="AB9" i="35"/>
  <c r="H10" i="35"/>
  <c r="AB10" i="35"/>
  <c r="H14" i="35"/>
  <c r="AB14" i="35"/>
  <c r="H16" i="35"/>
  <c r="AB16" i="35"/>
  <c r="H20" i="35"/>
  <c r="AB20" i="35"/>
  <c r="H28" i="35"/>
  <c r="AB28" i="35"/>
  <c r="T37" i="35"/>
  <c r="H8" i="35"/>
  <c r="AB8" i="35"/>
  <c r="H11" i="35"/>
  <c r="AB11" i="35"/>
  <c r="H12" i="35"/>
  <c r="AB12" i="35"/>
  <c r="H13" i="35"/>
  <c r="AB13" i="35"/>
  <c r="H22" i="35"/>
  <c r="AB22" i="35"/>
  <c r="H23" i="35"/>
  <c r="AB23" i="35"/>
  <c r="H24" i="35"/>
  <c r="AB24" i="35"/>
  <c r="H25" i="35"/>
  <c r="AB25" i="35"/>
  <c r="H27" i="35"/>
  <c r="AB27" i="35"/>
  <c r="H30" i="35"/>
  <c r="AB30" i="35"/>
  <c r="H33" i="35"/>
  <c r="AB33" i="35"/>
  <c r="H34" i="35"/>
  <c r="AB34" i="35"/>
  <c r="H35" i="35"/>
  <c r="AB35" i="35"/>
  <c r="H36" i="35"/>
  <c r="AB36" i="35"/>
  <c r="J31" i="35"/>
  <c r="AC31" i="35"/>
  <c r="J26" i="35"/>
  <c r="AC26" i="35"/>
  <c r="J32" i="35"/>
  <c r="AC32" i="35"/>
  <c r="J18" i="35"/>
  <c r="AC18" i="35"/>
  <c r="J9" i="35"/>
  <c r="AC9" i="35"/>
  <c r="J10" i="35"/>
  <c r="AC10" i="35"/>
  <c r="J14" i="35"/>
  <c r="AC14" i="35"/>
  <c r="J16" i="35"/>
  <c r="AC16" i="35"/>
  <c r="J20" i="35"/>
  <c r="AC20" i="35"/>
  <c r="J28" i="35"/>
  <c r="AC28" i="35"/>
  <c r="J8" i="35"/>
  <c r="AC8" i="35"/>
  <c r="J11" i="35"/>
  <c r="AC11" i="35"/>
  <c r="J12" i="35"/>
  <c r="AC12" i="35"/>
  <c r="J13" i="35"/>
  <c r="AC13" i="35"/>
  <c r="J22" i="35"/>
  <c r="AC22" i="35"/>
  <c r="J23" i="35"/>
  <c r="AC23" i="35"/>
  <c r="J24" i="35"/>
  <c r="AC24" i="35"/>
  <c r="J25" i="35"/>
  <c r="AC25" i="35"/>
  <c r="J27" i="35"/>
  <c r="AC27" i="35"/>
  <c r="J30" i="35"/>
  <c r="AC30" i="35"/>
  <c r="J33" i="35"/>
  <c r="AC33" i="35"/>
  <c r="J34" i="35"/>
  <c r="AC34" i="35"/>
  <c r="J35" i="35"/>
  <c r="AC35" i="35"/>
  <c r="J36" i="35"/>
  <c r="AC36" i="35"/>
  <c r="A6" i="1"/>
  <c r="A7" i="1"/>
  <c r="A8" i="1"/>
  <c r="A10" i="1"/>
  <c r="A11" i="1"/>
  <c r="A12" i="1"/>
  <c r="A13" i="1"/>
  <c r="E21" i="6"/>
  <c r="G1" i="72"/>
  <c r="F6" i="72"/>
  <c r="F8" i="72"/>
  <c r="F7" i="72"/>
  <c r="F9" i="72"/>
  <c r="C6" i="72"/>
  <c r="C1" i="65"/>
  <c r="N1" i="65"/>
  <c r="F11" i="72"/>
  <c r="C10" i="72"/>
  <c r="C5" i="72"/>
  <c r="B43" i="1"/>
  <c r="B41" i="1"/>
  <c r="F32" i="72"/>
  <c r="C32" i="72"/>
  <c r="F33" i="72"/>
  <c r="C33" i="72"/>
  <c r="D22" i="6"/>
  <c r="E20" i="6"/>
  <c r="E23" i="6"/>
  <c r="E24" i="6"/>
  <c r="E25" i="6"/>
  <c r="E26" i="6"/>
  <c r="BF10" i="3"/>
  <c r="L22" i="6"/>
  <c r="M22" i="6"/>
  <c r="I22" i="6"/>
  <c r="H22" i="6"/>
  <c r="R22" i="6"/>
  <c r="R9" i="1"/>
  <c r="L21" i="6"/>
  <c r="M21" i="6"/>
  <c r="I21" i="6"/>
  <c r="H21" i="6"/>
  <c r="D21" i="6"/>
  <c r="R21" i="6"/>
  <c r="R8" i="1"/>
  <c r="F35" i="72"/>
  <c r="B52" i="1"/>
  <c r="F34" i="72"/>
  <c r="C34" i="72"/>
  <c r="C31" i="72"/>
  <c r="T4" i="1"/>
  <c r="T9" i="1"/>
  <c r="T8" i="1"/>
  <c r="C14" i="72"/>
  <c r="F15" i="72"/>
  <c r="C15" i="72"/>
  <c r="F16" i="72"/>
  <c r="C16" i="72"/>
  <c r="F43" i="72"/>
  <c r="F17" i="72"/>
  <c r="C17" i="72"/>
  <c r="F18" i="72"/>
  <c r="C18" i="72"/>
  <c r="C19" i="72"/>
  <c r="F20" i="72"/>
  <c r="C20" i="72"/>
  <c r="H1" i="65"/>
  <c r="I6" i="65"/>
  <c r="F24" i="72"/>
  <c r="F23" i="72"/>
  <c r="C23" i="72"/>
  <c r="F26" i="72"/>
  <c r="C26" i="72"/>
  <c r="F21" i="72"/>
  <c r="C24" i="72"/>
  <c r="C27" i="72"/>
  <c r="F28" i="72"/>
  <c r="C42" i="1"/>
  <c r="C28" i="72"/>
  <c r="C29" i="72"/>
  <c r="F36" i="72"/>
  <c r="C36" i="72"/>
  <c r="F13" i="72"/>
  <c r="C13" i="72"/>
  <c r="F37" i="72"/>
  <c r="C37" i="72"/>
  <c r="F38" i="72"/>
  <c r="C38" i="72"/>
  <c r="C30" i="72"/>
  <c r="C39" i="72"/>
  <c r="F42" i="72"/>
  <c r="F40" i="72"/>
  <c r="G19" i="4"/>
  <c r="F9" i="1"/>
  <c r="F8" i="1"/>
  <c r="L48" i="72"/>
  <c r="M47" i="72"/>
  <c r="J50" i="72"/>
  <c r="J51" i="72"/>
  <c r="J53" i="72"/>
  <c r="F1" i="72"/>
  <c r="AE9" i="1"/>
  <c r="M47" i="15"/>
  <c r="AE8" i="1"/>
  <c r="F41" i="72"/>
  <c r="C40" i="72"/>
  <c r="M6" i="72"/>
  <c r="M8" i="72"/>
  <c r="M7" i="72"/>
  <c r="M9" i="72"/>
  <c r="J6" i="72"/>
  <c r="M11" i="72"/>
  <c r="J10" i="72"/>
  <c r="J5" i="72"/>
  <c r="J26" i="72"/>
  <c r="J29" i="72"/>
  <c r="L46" i="72"/>
  <c r="B2" i="72"/>
  <c r="B3" i="72"/>
  <c r="F32" i="15"/>
  <c r="F33" i="15"/>
  <c r="E32" i="6"/>
  <c r="F34" i="15"/>
  <c r="F15" i="15"/>
  <c r="F17" i="15"/>
  <c r="F18" i="15"/>
  <c r="F20" i="15"/>
  <c r="F21" i="15"/>
  <c r="F28" i="15"/>
  <c r="C28" i="15"/>
  <c r="E19" i="4"/>
  <c r="J50" i="15"/>
  <c r="J51" i="15"/>
  <c r="L46" i="15"/>
  <c r="Q66" i="72"/>
  <c r="L60" i="72"/>
  <c r="Q67" i="72"/>
  <c r="Q76" i="72"/>
  <c r="D9" i="1"/>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9"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C7" i="71"/>
  <c r="C58" i="71"/>
  <c r="D58" i="71"/>
  <c r="E58" i="71"/>
  <c r="F58" i="71"/>
  <c r="G58" i="71"/>
  <c r="H58" i="71"/>
  <c r="I58" i="71"/>
  <c r="J58" i="71"/>
  <c r="K58" i="71"/>
  <c r="L58" i="71"/>
  <c r="M58" i="71"/>
  <c r="N58" i="71"/>
  <c r="O58" i="71"/>
  <c r="H7" i="71"/>
  <c r="AB7" i="71"/>
  <c r="H8" i="71"/>
  <c r="AB8" i="71"/>
  <c r="C63" i="71"/>
  <c r="H9" i="71"/>
  <c r="AB9" i="71"/>
  <c r="H10" i="71"/>
  <c r="AB10" i="71"/>
  <c r="B70" i="71"/>
  <c r="H12" i="71"/>
  <c r="AB12" i="71"/>
  <c r="B72" i="71"/>
  <c r="H13" i="71"/>
  <c r="AB13" i="71"/>
  <c r="B74" i="71"/>
  <c r="H14" i="71"/>
  <c r="AB14" i="71"/>
  <c r="D77" i="71"/>
  <c r="H15" i="71"/>
  <c r="AB15" i="71"/>
  <c r="D83" i="71"/>
  <c r="H21" i="71"/>
  <c r="AB21" i="71"/>
  <c r="H25" i="71"/>
  <c r="AB25" i="71"/>
  <c r="H26" i="71"/>
  <c r="AB26" i="71"/>
  <c r="B90" i="71"/>
  <c r="H27" i="71"/>
  <c r="AB27" i="71"/>
  <c r="B92" i="71"/>
  <c r="H28" i="71"/>
  <c r="AB28" i="71"/>
  <c r="B94" i="71"/>
  <c r="H29" i="71"/>
  <c r="AB29" i="71"/>
  <c r="B96" i="71"/>
  <c r="H30" i="71"/>
  <c r="AB30" i="71"/>
  <c r="B98" i="71"/>
  <c r="H31" i="71"/>
  <c r="AB31" i="71"/>
  <c r="H33" i="71"/>
  <c r="AB33" i="71"/>
  <c r="D106" i="71"/>
  <c r="H34" i="71"/>
  <c r="AB34" i="71"/>
  <c r="D110" i="71"/>
  <c r="H36" i="71"/>
  <c r="AB36" i="71"/>
  <c r="D113" i="71"/>
  <c r="E113" i="71"/>
  <c r="F113" i="71"/>
  <c r="G113" i="71"/>
  <c r="H37" i="71"/>
  <c r="AB37" i="71"/>
  <c r="H38" i="71"/>
  <c r="AB38" i="71"/>
  <c r="D117" i="71"/>
  <c r="H39" i="71"/>
  <c r="AB39" i="71"/>
  <c r="H40" i="71"/>
  <c r="AB40" i="71"/>
  <c r="H41" i="71"/>
  <c r="AB41" i="71"/>
  <c r="D123" i="71"/>
  <c r="E123" i="71"/>
  <c r="F123" i="71"/>
  <c r="H42" i="71"/>
  <c r="AB42" i="71"/>
  <c r="H43" i="71"/>
  <c r="AB43" i="71"/>
  <c r="B126" i="71"/>
  <c r="H44" i="71"/>
  <c r="AB44" i="71"/>
  <c r="B128" i="71"/>
  <c r="H45" i="71"/>
  <c r="AB45" i="71"/>
  <c r="B130" i="71"/>
  <c r="H46" i="71"/>
  <c r="AB46" i="71"/>
  <c r="T48" i="71"/>
  <c r="R47" i="71"/>
  <c r="F17" i="71"/>
  <c r="AA17" i="71"/>
  <c r="F19" i="71"/>
  <c r="AA19" i="71"/>
  <c r="F23" i="71"/>
  <c r="AA23" i="71"/>
  <c r="F35" i="71"/>
  <c r="AA35" i="71"/>
  <c r="F11" i="71"/>
  <c r="AA11" i="71"/>
  <c r="F32" i="71"/>
  <c r="AA32"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R48" i="71"/>
  <c r="V47" i="71"/>
  <c r="J17" i="71"/>
  <c r="AC17" i="71"/>
  <c r="J19" i="71"/>
  <c r="AC19" i="71"/>
  <c r="J23" i="71"/>
  <c r="AC23" i="71"/>
  <c r="E108" i="71"/>
  <c r="J35" i="71"/>
  <c r="AC35" i="71"/>
  <c r="J11" i="71"/>
  <c r="AC11" i="71"/>
  <c r="J32" i="71"/>
  <c r="AC32"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B2" i="71"/>
  <c r="D79" i="21"/>
  <c r="E79" i="21"/>
  <c r="F17" i="21"/>
  <c r="AA17" i="21"/>
  <c r="D81" i="21"/>
  <c r="F19" i="21"/>
  <c r="AA19" i="21"/>
  <c r="D85" i="21"/>
  <c r="E85" i="21"/>
  <c r="F23" i="21"/>
  <c r="AA23" i="21"/>
  <c r="D108" i="21"/>
  <c r="F35" i="21"/>
  <c r="AA35" i="21"/>
  <c r="D69" i="21"/>
  <c r="E69" i="21"/>
  <c r="F11" i="21"/>
  <c r="AA11"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83" i="21"/>
  <c r="F21" i="21"/>
  <c r="AA21" i="21"/>
  <c r="F25" i="21"/>
  <c r="AA25" i="21"/>
  <c r="F26" i="21"/>
  <c r="AA26" i="21"/>
  <c r="B90" i="21"/>
  <c r="F27" i="21"/>
  <c r="AA27" i="21"/>
  <c r="B92" i="21"/>
  <c r="F28" i="21"/>
  <c r="AA28" i="21"/>
  <c r="B94" i="21"/>
  <c r="F29" i="21"/>
  <c r="AA29" i="21"/>
  <c r="B96" i="21"/>
  <c r="F30" i="21"/>
  <c r="AA30" i="21"/>
  <c r="B98" i="21"/>
  <c r="F31" i="21"/>
  <c r="AA31" i="21"/>
  <c r="D106" i="21"/>
  <c r="F34" i="21"/>
  <c r="AA34" i="21"/>
  <c r="D110"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H17" i="21"/>
  <c r="AB17" i="21"/>
  <c r="E81" i="21"/>
  <c r="H19" i="21"/>
  <c r="AB19" i="21"/>
  <c r="F85" i="21"/>
  <c r="H23" i="21"/>
  <c r="AB23" i="21"/>
  <c r="H35" i="21"/>
  <c r="AB35" i="21"/>
  <c r="F69" i="21"/>
  <c r="H11" i="21"/>
  <c r="AB11" i="21"/>
  <c r="H7" i="21"/>
  <c r="AB7" i="21"/>
  <c r="H8" i="21"/>
  <c r="AB8" i="21"/>
  <c r="H9" i="21"/>
  <c r="AB9" i="21"/>
  <c r="H10" i="21"/>
  <c r="AB10" i="21"/>
  <c r="H12" i="21"/>
  <c r="AB12" i="21"/>
  <c r="H13" i="21"/>
  <c r="AB13" i="21"/>
  <c r="H14" i="21"/>
  <c r="AB14" i="21"/>
  <c r="H15" i="21"/>
  <c r="AB15" i="21"/>
  <c r="H21" i="21"/>
  <c r="AB21" i="21"/>
  <c r="H25" i="21"/>
  <c r="AB25" i="21"/>
  <c r="H26" i="21"/>
  <c r="AB26" i="21"/>
  <c r="H27" i="21"/>
  <c r="AB27" i="21"/>
  <c r="H28" i="21"/>
  <c r="AB28" i="21"/>
  <c r="H29" i="21"/>
  <c r="AB29" i="21"/>
  <c r="H30" i="21"/>
  <c r="AB30" i="21"/>
  <c r="H31" i="21"/>
  <c r="AB31"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J17" i="21"/>
  <c r="AC17" i="21"/>
  <c r="J19" i="21"/>
  <c r="AC19" i="21"/>
  <c r="J23" i="21"/>
  <c r="AC23" i="21"/>
  <c r="E108" i="21"/>
  <c r="J35" i="21"/>
  <c r="AC35" i="21"/>
  <c r="J11" i="21"/>
  <c r="AC11" i="21"/>
  <c r="J7" i="21"/>
  <c r="AC7" i="21"/>
  <c r="J8" i="21"/>
  <c r="AC8" i="21"/>
  <c r="J9" i="21"/>
  <c r="AC9" i="21"/>
  <c r="J10" i="21"/>
  <c r="AC10" i="21"/>
  <c r="J12" i="21"/>
  <c r="AC12" i="21"/>
  <c r="J13" i="21"/>
  <c r="AC13" i="21"/>
  <c r="J14" i="21"/>
  <c r="AC14" i="21"/>
  <c r="J15" i="21"/>
  <c r="AC15" i="21"/>
  <c r="J21" i="21"/>
  <c r="AC21" i="21"/>
  <c r="J25" i="21"/>
  <c r="AC25" i="21"/>
  <c r="J26" i="21"/>
  <c r="AC26" i="21"/>
  <c r="J27" i="21"/>
  <c r="AC27" i="21"/>
  <c r="J28" i="21"/>
  <c r="AC28" i="21"/>
  <c r="J29" i="21"/>
  <c r="AC29" i="21"/>
  <c r="J30" i="21"/>
  <c r="AC30" i="21"/>
  <c r="J31" i="21"/>
  <c r="AC31"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E110" i="71"/>
  <c r="F110" i="71"/>
  <c r="G110" i="71"/>
  <c r="H110" i="71"/>
  <c r="I110" i="71"/>
  <c r="J110" i="71"/>
  <c r="K110" i="71"/>
  <c r="L110" i="71"/>
  <c r="M110" i="71"/>
  <c r="F108" i="71"/>
  <c r="G108" i="71"/>
  <c r="H108" i="71"/>
  <c r="I108" i="71"/>
  <c r="J108" i="71"/>
  <c r="K108" i="71"/>
  <c r="L108" i="71"/>
  <c r="M108"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G85" i="71"/>
  <c r="E83" i="71"/>
  <c r="F83" i="71"/>
  <c r="G83" i="71"/>
  <c r="F81" i="71"/>
  <c r="G81" i="71"/>
  <c r="F79" i="71"/>
  <c r="G79" i="71"/>
  <c r="E77" i="71"/>
  <c r="F77" i="71"/>
  <c r="G77"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D19" i="4"/>
  <c r="F6" i="1"/>
  <c r="G1" i="44"/>
  <c r="F10"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D38" i="4"/>
  <c r="C39" i="4"/>
  <c r="C35" i="4"/>
  <c r="E16" i="12"/>
  <c r="F14" i="12"/>
  <c r="F15" i="12"/>
  <c r="F17" i="12"/>
  <c r="E19" i="12"/>
  <c r="F23" i="12"/>
  <c r="F24" i="12"/>
  <c r="F25"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F70" i="35"/>
  <c r="G70" i="35"/>
  <c r="E66"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R16" i="4"/>
  <c r="P16" i="4"/>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I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K23" i="6"/>
  <c r="M23" i="6"/>
  <c r="I23" i="6"/>
  <c r="S23" i="6"/>
  <c r="K25" i="6"/>
  <c r="M25" i="6"/>
  <c r="I25" i="6"/>
  <c r="S25" i="6"/>
  <c r="L19" i="6"/>
  <c r="K15" i="1"/>
  <c r="E62" i="40"/>
  <c r="E67" i="39"/>
  <c r="E66" i="39"/>
  <c r="E61" i="40"/>
  <c r="I35" i="46"/>
  <c r="I36" i="46"/>
  <c r="I34" i="46"/>
  <c r="B21" i="55"/>
  <c r="B72" i="63"/>
  <c r="B20" i="55"/>
  <c r="B70" i="63"/>
  <c r="S7" i="36"/>
  <c r="AA7" i="36"/>
  <c r="R36" i="36"/>
  <c r="E36" i="36"/>
  <c r="E40" i="36"/>
  <c r="F40" i="36"/>
  <c r="S7"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I48" i="21"/>
  <c r="W7" i="21"/>
  <c r="U7" i="21"/>
  <c r="G48" i="21"/>
  <c r="S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9" i="6"/>
  <c r="D24" i="6"/>
  <c r="D26" i="6"/>
  <c r="D25" i="6"/>
  <c r="D10" i="6"/>
  <c r="D11" i="6"/>
  <c r="D13" i="6"/>
  <c r="D12" i="6"/>
  <c r="H24" i="6"/>
  <c r="H25" i="6"/>
  <c r="D6" i="6"/>
  <c r="D9" i="6"/>
  <c r="D23" i="6"/>
  <c r="D5" i="6"/>
  <c r="D14" i="6"/>
  <c r="D29" i="6"/>
  <c r="D28" i="6"/>
  <c r="D15" i="6"/>
  <c r="D8" i="6"/>
  <c r="H26" i="6"/>
  <c r="H23" i="6"/>
  <c r="E53" i="21"/>
  <c r="F53" i="21"/>
  <c r="E52" i="21"/>
  <c r="F52" i="21"/>
  <c r="I53" i="21"/>
  <c r="J53" i="21"/>
  <c r="I70" i="39"/>
  <c r="H72" i="39"/>
  <c r="I65" i="40"/>
  <c r="H67" i="40"/>
  <c r="C16" i="44"/>
  <c r="C20" i="44"/>
  <c r="C17" i="44"/>
  <c r="B3" i="67"/>
  <c r="B4" i="67"/>
  <c r="T16" i="1"/>
  <c r="H27" i="6"/>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C19" i="9"/>
  <c r="L43" i="9"/>
  <c r="B5" i="3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 r="A2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<sst xmlns="http://schemas.openxmlformats.org/spreadsheetml/2006/main" count="8161" uniqueCount="3333">
  <si>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</si>
  <si>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</si>
  <si>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</si>
  <si>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</si>
  <si>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</si>
  <si>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</si>
  <si>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</si>
  <si>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</si>
  <si>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</si>
  <si>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</si>
  <si>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</si>
  <si>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</si>
  <si>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</si>
  <si>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</si>
  <si>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</si>
  <si>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</si>
  <si>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</si>
  <si>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</si>
  <si>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</si>
  <si>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</si>
  <si>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</si>
  <si>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</si>
  <si>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</si>
  <si>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</si>
  <si>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</si>
  <si>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</si>
  <si>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</si>
  <si>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</si>
  <si>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</si>
  <si>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</si>
  <si>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</si>
  <si>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</si>
  <si>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</si>
  <si>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</si>
  <si>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</si>
  <si>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</si>
  <si>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</si>
  <si>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</si>
  <si>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</si>
  <si>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</si>
  <si>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</si>
  <si>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</si>
  <si>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</si>
  <si>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</si>
  <si>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</si>
  <si>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</si>
  <si>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</si>
  <si>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</si>
  <si>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</si>
  <si>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</si>
  <si>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</si>
  <si>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</si>
  <si>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</si>
  <si>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</si>
  <si>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</si>
  <si>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</si>
  <si>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</si>
  <si>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</si>
  <si>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</si>
  <si>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</si>
  <si>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</si>
  <si>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</si>
  <si>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</si>
  <si>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</si>
  <si>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</si>
  <si>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</si>
  <si>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</si>
  <si>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</si>
  <si>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</si>
  <si>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</si>
  <si>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</si>
  <si>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</si>
  <si>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</si>
  <si>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</si>
  <si>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</si>
  <si>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</si>
  <si>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</si>
  <si>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</si>
  <si>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</si>
  <si>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</si>
  <si>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</si>
  <si>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</si>
  <si>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</si>
  <si>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</si>
  <si>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</si>
  <si>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</si>
  <si>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</si>
  <si>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</si>
  <si>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</si>
  <si>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</si>
  <si>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</si>
  <si>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</si>
  <si>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</si>
  <si>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</si>
  <si>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</si>
  <si>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</si>
  <si>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</si>
  <si>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</si>
  <si>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</si>
  <si>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</si>
  <si>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</si>
  <si>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</si>
  <si>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</si>
  <si>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</si>
  <si>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</si>
  <si>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</si>
  <si>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</si>
  <si>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</si>
  <si>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</si>
  <si>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</si>
  <si>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</si>
  <si>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</si>
  <si>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</si>
  <si>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</si>
  <si>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</si>
  <si>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</si>
  <si>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</si>
  <si>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</si>
  <si>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</si>
  <si>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</si>
  <si>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</si>
  <si>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</si>
  <si>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</si>
  <si>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</si>
  <si>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</si>
  <si>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</si>
  <si>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</si>
  <si>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</si>
  <si>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</si>
  <si>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</si>
  <si>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</si>
  <si>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</si>
  <si>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</si>
  <si>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</si>
  <si>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</si>
  <si>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</si>
  <si>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</si>
  <si>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</si>
  <si>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</si>
  <si>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</si>
  <si>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</si>
  <si>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</si>
  <si>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</si>
  <si>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</si>
  <si>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</si>
  <si>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</si>
  <si>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</si>
  <si>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</si>
  <si>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</si>
  <si>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</si>
  <si>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</si>
  <si>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</si>
  <si>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</si>
  <si>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</si>
  <si>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</si>
  <si>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</si>
  <si>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</si>
  <si>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</si>
  <si>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</si>
  <si>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</si>
  <si>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</si>
  <si>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</si>
  <si>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</si>
  <si>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</si>
  <si>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</si>
  <si>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</si>
  <si>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</si>
  <si>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</si>
  <si>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</si>
  <si>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</si>
  <si>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</si>
  <si>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</si>
  <si>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</si>
  <si>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</si>
  <si>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</si>
  <si>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</si>
  <si>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</si>
  <si>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</si>
  <si>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</si>
  <si>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</si>
  <si>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</si>
  <si>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</si>
  <si>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</si>
  <si>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</si>
  <si>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</si>
  <si>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</si>
  <si>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</si>
  <si>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</si>
  <si>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</si>
  <si>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</si>
  <si>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</si>
  <si>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</si>
  <si>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</si>
  <si>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</si>
  <si>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</si>
  <si>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</si>
  <si>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</si>
  <si>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</si>
  <si>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</si>
  <si>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</si>
  <si>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</si>
  <si>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</si>
  <si>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</si>
  <si>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</si>
  <si>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</si>
  <si>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</si>
  <si>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</si>
  <si>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</si>
  <si>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</si>
  <si>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</si>
  <si>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</si>
  <si>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</si>
  <si>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</si>
  <si>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</si>
  <si>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</si>
  <si>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</si>
  <si>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</si>
  <si>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</si>
  <si>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</si>
  <si>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</si>
  <si>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</si>
  <si>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</si>
  <si>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</si>
  <si>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</si>
  <si>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</si>
  <si>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</si>
  <si>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</si>
  <si>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</si>
  <si>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</si>
  <si>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</si>
  <si>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</si>
  <si>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</si>
  <si>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</si>
  <si>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</si>
  <si>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</si>
  <si>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</si>
  <si>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</si>
  <si>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</si>
  <si>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</si>
  <si>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</si>
  <si>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</si>
  <si>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</si>
  <si>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</si>
  <si>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</si>
  <si>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</si>
  <si>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</si>
  <si>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</si>
  <si>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</si>
  <si>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</si>
  <si>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</si>
  <si>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</si>
  <si>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</si>
  <si>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</si>
  <si>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</si>
  <si>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</si>
  <si>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</si>
  <si>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</si>
  <si>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</si>
  <si>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</si>
  <si>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</si>
  <si>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</si>
  <si>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</si>
  <si>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</si>
  <si>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</si>
  <si>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</si>
  <si>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</si>
  <si>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</si>
  <si>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</si>
  <si>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</si>
  <si>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</si>
  <si>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</si>
  <si>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</si>
  <si>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</si>
  <si>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</si>
  <si>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</si>
  <si>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</si>
  <si>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</si>
  <si>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</si>
  <si>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</si>
  <si>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</si>
  <si>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</si>
  <si>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</si>
  <si>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</si>
  <si>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</si>
  <si>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</si>
  <si>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</si>
  <si>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</si>
  <si>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</si>
  <si>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</si>
  <si>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</si>
  <si>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</si>
  <si>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</si>
  <si>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</si>
  <si>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</si>
  <si>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</si>
  <si>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</si>
  <si>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</si>
  <si>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</si>
  <si>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</si>
  <si>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</si>
  <si>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</si>
  <si>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</si>
  <si>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</si>
  <si>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</si>
  <si>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</si>
  <si>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</si>
  <si>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</si>
  <si>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</si>
  <si>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</si>
  <si>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</si>
  <si>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</si>
  <si>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</si>
  <si>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</si>
  <si>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</si>
  <si>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</si>
  <si>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</si>
  <si>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</si>
  <si>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</si>
  <si>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</si>
  <si>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</si>
  <si>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</si>
  <si>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</si>
  <si>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</si>
  <si>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</si>
  <si>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</si>
  <si>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</si>
  <si>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</si>
  <si>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</si>
  <si>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</si>
  <si>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</si>
  <si>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</si>
  <si>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</si>
  <si>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</si>
  <si>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</si>
  <si>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</si>
  <si>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</si>
  <si>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</si>
  <si>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</si>
  <si>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</si>
  <si>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</si>
  <si>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</si>
  <si>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</si>
  <si>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</si>
  <si>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</si>
  <si>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</si>
  <si>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</si>
  <si>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</si>
  <si>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</si>
  <si>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</si>
  <si>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</si>
  <si>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</si>
  <si>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</si>
  <si>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</si>
  <si>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</si>
  <si>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</si>
  <si>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</si>
  <si>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</si>
  <si>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</si>
  <si>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</si>
  <si>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</si>
  <si>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</si>
  <si>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</si>
  <si>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</si>
  <si>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</si>
  <si>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</si>
  <si>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</si>
  <si>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</si>
  <si>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</si>
  <si>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</si>
  <si>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</si>
  <si>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</si>
  <si>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</si>
  <si>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</si>
  <si>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</si>
  <si>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</si>
  <si>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</si>
  <si>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</si>
  <si>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</si>
  <si>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</si>
  <si>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</si>
  <si>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</si>
  <si>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</si>
  <si>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</si>
  <si>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</si>
  <si>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</si>
  <si>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</si>
  <si>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</si>
  <si>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</si>
  <si>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</si>
  <si>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</si>
  <si>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</si>
  <si>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</si>
  <si>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</si>
  <si>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</si>
  <si>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</si>
  <si>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</si>
  <si>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</si>
  <si>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</si>
  <si>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</si>
  <si>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</si>
  <si>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</si>
  <si>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</si>
  <si>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</si>
  <si>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</si>
  <si>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</si>
  <si>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</si>
  <si>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</si>
  <si>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</si>
  <si>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</si>
  <si>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</si>
  <si>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</si>
  <si>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</si>
  <si>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</si>
  <si>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</si>
  <si>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</si>
  <si>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</si>
  <si>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</si>
  <si>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</si>
  <si>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</si>
  <si>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</si>
  <si>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</si>
  <si>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</si>
  <si>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</si>
  <si>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</si>
  <si>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</si>
  <si>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</si>
  <si>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</si>
  <si>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</si>
  <si>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</si>
  <si>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</si>
  <si>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</si>
  <si>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</si>
  <si>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</si>
  <si>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</si>
  <si>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</si>
  <si>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</si>
  <si>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</si>
  <si>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</si>
  <si>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</si>
  <si>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</si>
  <si>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</si>
  <si>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</si>
  <si>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</si>
  <si>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</si>
  <si>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</si>
  <si>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</si>
  <si>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</si>
  <si>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</si>
  <si>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</si>
  <si>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</si>
  <si>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</si>
  <si>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</si>
  <si>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</si>
  <si>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</si>
  <si>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</si>
  <si>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</si>
  <si>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</si>
  <si>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</si>
  <si>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</si>
  <si>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</si>
  <si>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</si>
  <si>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</si>
  <si>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</si>
  <si>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</si>
  <si>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</si>
  <si>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</si>
  <si>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</si>
  <si>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</si>
  <si>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</si>
  <si>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</si>
  <si>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</si>
  <si>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</si>
  <si>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</si>
  <si>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</si>
  <si>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</si>
  <si>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</si>
  <si>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</si>
  <si>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</si>
  <si>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</si>
  <si>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</si>
  <si>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</si>
  <si>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</si>
  <si>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</si>
  <si>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</si>
  <si>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</si>
  <si>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</si>
  <si>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</si>
  <si>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</si>
  <si>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</si>
  <si>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</si>
  <si>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</si>
  <si>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</si>
  <si>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</si>
  <si>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</si>
  <si>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</si>
  <si>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</si>
  <si>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</si>
  <si>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</si>
  <si>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</si>
  <si>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</si>
  <si>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</si>
  <si>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</si>
  <si>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</si>
  <si>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</si>
  <si>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</si>
  <si>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</si>
  <si>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</si>
  <si>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</si>
  <si>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</si>
  <si>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</si>
  <si>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</si>
  <si>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</si>
  <si>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</si>
  <si>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</si>
  <si>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</si>
  <si>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</si>
  <si>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</si>
  <si>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</si>
  <si>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</si>
  <si>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</si>
  <si>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</si>
  <si>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</si>
  <si>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</si>
  <si>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</si>
  <si>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</si>
  <si>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</si>
  <si>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</si>
  <si>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</si>
  <si>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</si>
  <si>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</si>
  <si>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</si>
  <si>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</si>
  <si>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</si>
  <si>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</si>
  <si>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</si>
  <si>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</si>
  <si>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</si>
  <si>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</si>
  <si>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</si>
  <si>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</si>
  <si>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</si>
  <si>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</si>
  <si>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</si>
  <si>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</si>
  <si>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</si>
  <si>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</si>
  <si>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</si>
  <si>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</si>
  <si>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</si>
  <si>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</si>
  <si>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</si>
  <si>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</si>
  <si>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</si>
  <si>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</si>
  <si>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</si>
  <si>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</si>
  <si>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</si>
  <si>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</si>
  <si>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</si>
  <si>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</si>
  <si>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</si>
  <si>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</si>
  <si>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</si>
  <si>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</si>
  <si>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</si>
  <si>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</si>
  <si>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</si>
  <si>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</si>
  <si>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</si>
  <si>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</si>
  <si>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</si>
  <si>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</si>
  <si>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</si>
  <si>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</si>
  <si>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</si>
  <si>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</si>
  <si>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</si>
  <si>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</si>
  <si>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</si>
  <si>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</si>
  <si>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</si>
  <si>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</si>
  <si>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</si>
  <si>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</si>
  <si>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</si>
  <si>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</si>
  <si>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</si>
  <si>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</si>
  <si>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</si>
  <si>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</si>
  <si>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</si>
  <si>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</si>
  <si>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</si>
  <si>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</si>
  <si>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</si>
  <si>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</si>
  <si>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</si>
  <si>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</si>
  <si>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</si>
  <si>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</si>
  <si>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</si>
  <si>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</si>
  <si>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</si>
  <si>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</si>
  <si>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</si>
  <si>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</si>
  <si>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</si>
  <si>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</si>
  <si>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</si>
  <si>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</si>
  <si>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</si>
  <si>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</si>
  <si>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</si>
  <si>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</si>
  <si>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</si>
  <si>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</si>
  <si>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</si>
  <si>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</si>
  <si>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</si>
  <si>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</si>
  <si>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</si>
  <si>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</si>
  <si>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</si>
  <si>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</si>
  <si>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</si>
  <si>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</si>
  <si>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</si>
  <si>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</si>
  <si>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</si>
  <si>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</si>
  <si>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</si>
  <si>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</si>
  <si>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</si>
  <si>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</si>
  <si>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</si>
  <si>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</si>
  <si>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</si>
  <si>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</si>
  <si>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</si>
  <si>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</si>
  <si>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</si>
  <si>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</si>
  <si>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</si>
  <si>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</si>
  <si>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</si>
  <si>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</si>
  <si>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</si>
  <si>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</si>
  <si>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</si>
  <si>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</si>
  <si>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</si>
  <si>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</si>
  <si>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</si>
  <si>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</si>
  <si>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</si>
  <si>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</si>
  <si>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</si>
  <si>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</si>
  <si>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</si>
  <si>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</si>
  <si>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</si>
  <si>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</si>
  <si>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</si>
  <si>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</si>
  <si>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</si>
  <si>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</si>
  <si>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</si>
  <si>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</si>
  <si>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</si>
  <si>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</si>
  <si>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</si>
  <si>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</si>
  <si>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</si>
  <si>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</si>
  <si>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</si>
  <si>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</si>
  <si>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</si>
  <si>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</si>
  <si>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</si>
  <si>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</si>
  <si>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</si>
  <si>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</si>
  <si>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</si>
  <si>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</si>
  <si>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</si>
  <si>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</si>
  <si>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</si>
  <si>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</si>
  <si>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</si>
  <si>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</si>
  <si>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</si>
  <si>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</si>
  <si>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</si>
  <si>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</si>
  <si>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</si>
  <si>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</si>
  <si>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</si>
  <si>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</si>
  <si>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</si>
  <si>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</si>
  <si>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</si>
  <si>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</si>
  <si>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</si>
  <si>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</si>
  <si>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</si>
  <si>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</si>
  <si>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</si>
  <si>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</si>
  <si>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</si>
  <si>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</si>
  <si>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</si>
  <si>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</si>
  <si>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</si>
  <si>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</si>
  <si>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</si>
  <si>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</si>
  <si>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</si>
  <si>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</si>
  <si>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</si>
  <si>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</si>
  <si>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</si>
  <si>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</si>
  <si>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</si>
  <si>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</si>
  <si>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</si>
  <si>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</si>
  <si>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</si>
  <si>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</si>
  <si>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</si>
  <si>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</si>
  <si>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</si>
  <si>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</si>
  <si>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</si>
  <si>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</si>
  <si>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</si>
  <si>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</si>
  <si>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</si>
  <si>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</si>
  <si>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</si>
  <si>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</si>
  <si>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</si>
  <si>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</si>
  <si>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</si>
  <si>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</si>
  <si>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</si>
  <si>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</si>
  <si>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</si>
  <si>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</si>
  <si>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</si>
  <si>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</si>
  <si>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</si>
  <si>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</si>
  <si>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</si>
  <si>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</si>
  <si>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</si>
  <si>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</si>
  <si>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</si>
  <si>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</si>
  <si>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</si>
  <si>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</si>
  <si>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</si>
  <si>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</si>
  <si>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</si>
  <si>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</si>
  <si>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</si>
  <si>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</si>
  <si>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</si>
  <si>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</si>
  <si>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</si>
  <si>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</si>
  <si>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</si>
  <si>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</si>
  <si>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</si>
  <si>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</si>
  <si>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</si>
  <si>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</si>
  <si>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</si>
  <si>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</si>
  <si>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</si>
  <si>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</si>
  <si>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</si>
  <si>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</si>
  <si>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</si>
  <si>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</si>
  <si>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</si>
  <si>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</si>
  <si>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</si>
  <si>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</si>
  <si>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</si>
  <si>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</si>
  <si>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</si>
  <si>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</si>
  <si>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</si>
  <si>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</si>
  <si>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</si>
  <si>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</si>
  <si>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</si>
  <si>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</si>
  <si>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</si>
  <si>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</si>
  <si>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</si>
  <si>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</si>
  <si>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</si>
  <si>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</si>
  <si>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</si>
  <si>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</si>
  <si>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</si>
  <si>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</si>
  <si>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</si>
  <si>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</si>
  <si>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</si>
  <si>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</si>
  <si>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</si>
  <si>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</si>
  <si>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</si>
  <si>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</si>
  <si>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</si>
  <si>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</si>
  <si>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</si>
  <si>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</si>
  <si>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</si>
  <si>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</si>
  <si>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</si>
  <si>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</si>
  <si>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</si>
  <si>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</si>
  <si>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</si>
  <si>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</si>
  <si>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</si>
  <si>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</si>
  <si>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</si>
  <si>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</si>
  <si>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</si>
  <si>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</si>
  <si>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</si>
  <si>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</si>
  <si>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</si>
  <si>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</si>
  <si>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</si>
  <si>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</si>
  <si>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</si>
  <si>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</si>
  <si>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</si>
  <si>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</si>
  <si>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</si>
  <si>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</si>
  <si>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</si>
  <si>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</si>
  <si>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</si>
  <si>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</si>
  <si>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</si>
  <si>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</si>
  <si>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</si>
  <si>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</si>
  <si>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</si>
  <si>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</si>
  <si>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</si>
  <si>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</si>
  <si>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</si>
  <si>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</si>
  <si>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</si>
  <si>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</si>
  <si>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</si>
  <si>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</si>
  <si>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</si>
  <si>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</si>
  <si>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</si>
  <si>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</si>
  <si>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</si>
  <si>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</si>
  <si>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</si>
  <si>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</si>
  <si>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</si>
  <si>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</si>
  <si>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</si>
  <si>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</si>
  <si>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</si>
  <si>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</si>
  <si>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</si>
  <si>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</si>
  <si>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</si>
  <si>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</si>
  <si>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</si>
  <si>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</si>
  <si>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</si>
  <si>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</si>
  <si>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</si>
  <si>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</si>
  <si>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</si>
  <si>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</si>
  <si>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</si>
  <si>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</si>
  <si>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</si>
  <si>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</si>
  <si>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</si>
  <si>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</si>
  <si>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</si>
  <si>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</si>
  <si>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</si>
  <si>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</si>
  <si>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</si>
  <si>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</si>
  <si>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</si>
  <si>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</si>
  <si>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</si>
  <si>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</si>
  <si>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</si>
  <si>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</si>
  <si>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</si>
  <si>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</si>
  <si>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</si>
  <si>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</si>
  <si>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</si>
  <si>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</si>
  <si>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</si>
  <si>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</si>
  <si>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</si>
  <si>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</si>
  <si>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</si>
  <si>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</si>
  <si>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</si>
  <si>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</si>
  <si>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</si>
  <si>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</si>
  <si>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</si>
  <si>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</si>
  <si>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</si>
  <si>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</si>
  <si>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</si>
  <si>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</si>
  <si>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</si>
  <si>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</si>
  <si>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</si>
  <si>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</si>
  <si>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</si>
  <si>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</si>
  <si>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</si>
  <si>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</si>
  <si>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</si>
  <si>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</si>
  <si>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</si>
  <si>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</si>
  <si>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</si>
  <si>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</si>
  <si>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</si>
  <si>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</si>
  <si>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</si>
  <si>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</si>
  <si>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</si>
  <si>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</si>
  <si>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</si>
  <si>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</si>
  <si>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</si>
  <si>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</si>
  <si>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</si>
  <si>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</si>
  <si>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</si>
  <si>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</si>
  <si>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</si>
  <si>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</si>
  <si>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</si>
  <si>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</si>
  <si>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</si>
  <si>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</si>
  <si>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</si>
  <si>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</si>
  <si>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</si>
  <si>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</si>
  <si>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</si>
  <si>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</si>
  <si>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</si>
  <si>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</si>
  <si>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</si>
  <si>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</si>
  <si>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</si>
  <si>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</si>
  <si>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</si>
  <si>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</si>
  <si>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</si>
  <si>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</si>
  <si>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</si>
  <si>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</si>
  <si>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</si>
  <si>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</si>
  <si>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</si>
  <si>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</si>
  <si>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</si>
  <si>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</si>
  <si>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</si>
  <si>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</si>
  <si>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</si>
  <si>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</si>
  <si>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</si>
  <si>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</si>
  <si>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</si>
  <si>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</si>
  <si>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</si>
  <si>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</si>
  <si>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</si>
  <si>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</si>
  <si>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</si>
  <si>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</si>
  <si>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</si>
  <si>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</si>
  <si>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</si>
  <si>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</si>
  <si>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</si>
  <si>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</si>
  <si>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</si>
  <si>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</si>
  <si>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</si>
  <si>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</si>
  <si>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</si>
  <si>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</si>
  <si>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</si>
  <si>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</si>
  <si>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</si>
  <si>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</si>
  <si>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</si>
  <si>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</si>
  <si>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</si>
  <si>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</si>
  <si>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</si>
  <si>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</si>
  <si>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</si>
  <si>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</si>
  <si>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</si>
  <si>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</si>
  <si>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</si>
  <si>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</si>
  <si>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</si>
  <si>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</si>
  <si>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</si>
  <si>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</si>
  <si>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</si>
  <si>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</si>
  <si>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</si>
  <si>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</si>
  <si>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</si>
  <si>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</si>
  <si>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</si>
  <si>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</si>
  <si>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</si>
  <si>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</si>
  <si>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</si>
  <si>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</si>
  <si>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</si>
  <si>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</si>
  <si>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</si>
  <si>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</si>
  <si>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</si>
  <si>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</si>
  <si>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</si>
  <si>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</si>
  <si>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</si>
  <si>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</si>
  <si>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</si>
  <si>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</si>
  <si>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</si>
  <si>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</si>
  <si>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</si>
  <si>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</si>
  <si>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</si>
  <si>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</si>
  <si>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</si>
  <si>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</si>
  <si>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</si>
  <si>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</si>
  <si>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</si>
  <si>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</si>
  <si>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</si>
  <si>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</si>
  <si>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</si>
  <si>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</si>
  <si>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</si>
  <si>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</si>
  <si>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</si>
  <si>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</si>
  <si>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</si>
  <si>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</si>
  <si>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</si>
  <si>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</si>
  <si>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</si>
  <si>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</si>
  <si>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</si>
  <si>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</si>
  <si>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</si>
  <si>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</si>
  <si>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</si>
  <si>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</si>
  <si>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</si>
  <si>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</si>
  <si>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</si>
  <si>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</si>
  <si>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</si>
  <si>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</si>
  <si>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</si>
  <si>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</si>
  <si>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</si>
  <si>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</si>
  <si>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</si>
  <si>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</si>
  <si>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</si>
  <si>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</si>
  <si>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</si>
  <si>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</si>
  <si>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</si>
  <si>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</si>
  <si>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</si>
  <si>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</si>
  <si>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</si>
  <si>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</si>
  <si>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</si>
  <si>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</si>
  <si>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</si>
  <si>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</si>
  <si>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</si>
  <si>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</si>
  <si>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</si>
  <si>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</si>
  <si>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</si>
  <si>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</si>
  <si>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</si>
  <si>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</si>
  <si>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</si>
  <si>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</si>
  <si>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</si>
  <si>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</si>
  <si>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</si>
  <si>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</si>
  <si>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</si>
  <si>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</si>
  <si>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</si>
  <si>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</si>
  <si>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</si>
  <si>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</si>
  <si>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</si>
  <si>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</si>
  <si>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</si>
  <si>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</si>
  <si>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</si>
  <si>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</si>
  <si>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</si>
  <si>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</si>
  <si>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</si>
  <si>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</si>
  <si>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</si>
  <si>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</si>
  <si>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</si>
  <si>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</si>
  <si>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</si>
  <si>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</si>
  <si>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</si>
  <si>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</si>
  <si>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</si>
  <si>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</si>
  <si>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</si>
  <si>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</si>
  <si>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</si>
  <si>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</si>
  <si>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</si>
  <si>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</si>
  <si>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</si>
  <si>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</si>
  <si>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</si>
  <si>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</si>
  <si>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</si>
  <si>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</si>
  <si>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</si>
  <si>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</si>
  <si>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</si>
  <si>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</si>
  <si>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</si>
  <si>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</si>
  <si>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</si>
  <si>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</si>
  <si>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</si>
  <si>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</si>
  <si>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</si>
  <si>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</si>
  <si>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</si>
  <si>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</si>
  <si>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</si>
  <si>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</si>
  <si>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</si>
  <si>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</si>
  <si>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</si>
  <si>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</si>
  <si>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</si>
  <si>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</si>
  <si>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</si>
  <si>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</si>
  <si>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</si>
  <si>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</si>
  <si>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</si>
  <si>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</si>
  <si>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</si>
  <si>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</si>
  <si>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</si>
  <si>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</si>
  <si>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</si>
  <si>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</si>
  <si>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</si>
  <si>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</si>
  <si>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</si>
  <si>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</si>
  <si>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</si>
  <si>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</si>
  <si>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</si>
  <si>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</si>
  <si>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</si>
  <si>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</si>
  <si>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</si>
  <si>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</si>
  <si>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</si>
  <si>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</si>
  <si>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</si>
  <si>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</si>
  <si>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</si>
  <si>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</si>
  <si>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</si>
  <si>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</si>
  <si>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</si>
  <si>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</si>
  <si>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</si>
  <si>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</si>
  <si>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</si>
  <si>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</si>
  <si>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</si>
  <si>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</si>
  <si>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</si>
  <si>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</si>
  <si>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</si>
  <si>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</si>
  <si>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</si>
  <si>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</si>
  <si>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</si>
  <si>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</si>
  <si>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</si>
  <si>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</si>
  <si>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</si>
  <si>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</si>
  <si>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</si>
  <si>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</si>
  <si>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</si>
  <si>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</si>
  <si>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</si>
  <si>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</si>
  <si>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</si>
  <si>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</si>
  <si>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</si>
  <si>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</si>
  <si>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</si>
  <si>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</si>
  <si>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</si>
  <si>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</si>
  <si>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</si>
  <si>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</si>
  <si>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</si>
  <si>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</si>
  <si>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</si>
  <si>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</si>
  <si>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</si>
  <si>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</si>
  <si>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</si>
  <si>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</si>
  <si>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</si>
  <si>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</si>
  <si>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</si>
  <si>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</si>
  <si>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</si>
  <si>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</si>
  <si>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</si>
  <si>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</si>
  <si>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</si>
  <si>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</si>
  <si>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</si>
  <si>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</si>
  <si>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</si>
  <si>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</si>
  <si>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</si>
  <si>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</si>
  <si>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</si>
  <si>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</si>
  <si>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</si>
  <si>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</si>
  <si>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</si>
  <si>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</si>
  <si>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</si>
  <si>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</si>
  <si>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</si>
  <si>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</si>
  <si>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</si>
  <si>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</si>
  <si>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</si>
  <si>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</si>
  <si>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</si>
  <si>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</si>
  <si>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</si>
  <si>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</si>
  <si>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</si>
  <si>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</si>
  <si>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</si>
  <si>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</si>
  <si>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</si>
  <si>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</si>
  <si>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</si>
  <si>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</si>
  <si>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</si>
  <si>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</si>
  <si>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</si>
  <si>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</si>
  <si>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</si>
  <si>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</si>
  <si>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</si>
  <si>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</si>
  <si>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</si>
  <si>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</si>
  <si>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</si>
  <si>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</si>
  <si>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</si>
  <si>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</si>
  <si>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</si>
  <si>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</si>
  <si>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</si>
  <si>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</si>
  <si>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</si>
  <si>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</si>
  <si>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</si>
  <si>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</si>
  <si>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</si>
  <si>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</si>
  <si>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</si>
  <si>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</si>
  <si>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</si>
  <si>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</si>
  <si>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</si>
  <si>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</si>
  <si>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</si>
  <si>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</si>
  <si>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</si>
  <si>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</si>
  <si>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</si>
  <si>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</si>
  <si>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</si>
  <si>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</si>
  <si>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</si>
  <si>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</si>
  <si>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</si>
  <si>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</si>
  <si>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</si>
  <si>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</si>
  <si>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</si>
  <si>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</si>
  <si>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</si>
  <si>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</si>
  <si>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</si>
  <si>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</si>
  <si>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</si>
  <si>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</si>
  <si>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</si>
  <si>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</si>
  <si>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</si>
  <si>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</si>
  <si>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</si>
  <si>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</si>
  <si>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</si>
  <si>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</si>
  <si>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</si>
  <si>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</si>
  <si>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</si>
  <si>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</si>
  <si>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</si>
  <si>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</si>
  <si>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</si>
  <si>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</si>
  <si>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</si>
  <si>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</si>
  <si>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</si>
  <si>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</si>
  <si>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</si>
  <si>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</si>
  <si>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</si>
  <si>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</si>
  <si>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</si>
  <si>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</si>
  <si>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</si>
  <si>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</si>
  <si>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</si>
  <si>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</si>
  <si>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</si>
  <si>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</si>
  <si>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</si>
  <si>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</si>
  <si>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</si>
  <si>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</si>
  <si>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</si>
  <si>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</si>
  <si>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</si>
  <si>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</si>
  <si>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</si>
  <si>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</si>
  <si>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</si>
  <si>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</si>
  <si>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</si>
  <si>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</si>
  <si>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</si>
  <si>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</si>
  <si>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</si>
  <si>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</si>
  <si>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</si>
  <si>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</si>
  <si>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</si>
  <si>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</si>
  <si>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</si>
  <si>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</si>
  <si>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</si>
  <si>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</si>
  <si>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</si>
  <si>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</si>
  <si>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</si>
  <si>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</si>
  <si>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</si>
  <si>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</si>
  <si>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</si>
  <si>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</si>
  <si>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</si>
  <si>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</si>
  <si>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</si>
  <si>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</si>
  <si>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</si>
  <si>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</si>
  <si>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</si>
  <si>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</si>
  <si>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</si>
  <si>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</si>
  <si>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</si>
  <si>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</si>
  <si>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</si>
  <si>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</si>
  <si>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</si>
  <si>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</si>
  <si>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</si>
  <si>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</si>
  <si>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</si>
  <si>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</si>
  <si>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</si>
  <si>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</si>
  <si>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</si>
  <si>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</si>
  <si>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</si>
  <si>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</si>
  <si>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</si>
  <si>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</si>
  <si>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</si>
  <si>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</si>
  <si>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</si>
  <si>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</si>
  <si>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</si>
  <si>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</si>
  <si>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</si>
  <si>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</si>
  <si>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</si>
  <si>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</si>
  <si>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</si>
  <si>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</si>
  <si>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</si>
  <si>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</si>
  <si>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</si>
  <si>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</si>
  <si>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</si>
  <si>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</si>
  <si>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</si>
  <si>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</si>
  <si>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</si>
  <si>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</si>
  <si>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</si>
  <si>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</si>
  <si>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</si>
  <si>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</si>
  <si>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</si>
  <si>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</si>
  <si>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</si>
  <si>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</si>
  <si>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</si>
  <si>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</si>
  <si>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</si>
  <si>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</si>
  <si>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</si>
  <si>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</si>
  <si>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</si>
  <si>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</si>
  <si>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</si>
  <si>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</si>
  <si>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</si>
  <si>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</si>
  <si>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</si>
  <si>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</si>
  <si>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</si>
  <si>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</si>
  <si>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</si>
  <si>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</si>
  <si>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</si>
  <si>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</si>
  <si>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</si>
  <si>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</si>
  <si>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</si>
  <si>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</si>
  <si>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</si>
  <si>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</si>
  <si>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</si>
  <si>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</si>
  <si>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</si>
  <si>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</si>
  <si>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</si>
  <si>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</si>
  <si>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</si>
  <si>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</si>
  <si>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</si>
  <si>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</si>
  <si>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</si>
  <si>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</si>
  <si>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</si>
  <si>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</si>
  <si>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</si>
  <si>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</si>
  <si>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</si>
  <si>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</si>
  <si>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</si>
  <si>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</si>
  <si>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</si>
  <si>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</si>
  <si>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</si>
  <si>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</si>
  <si>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</si>
  <si>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</si>
  <si>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</si>
  <si>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</si>
  <si>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</si>
  <si>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</si>
  <si>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</si>
  <si>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</si>
  <si>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</si>
  <si>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</si>
  <si>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</si>
  <si>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</si>
  <si>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</si>
  <si>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</si>
  <si>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</si>
  <si>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</si>
  <si>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</si>
  <si>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</si>
  <si>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</si>
  <si>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</si>
  <si>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</si>
  <si>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</si>
  <si>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</si>
  <si>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</si>
  <si>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</si>
  <si>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</si>
  <si>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</si>
  <si>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</si>
  <si>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</si>
  <si>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</si>
  <si>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</si>
  <si>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</si>
  <si>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</si>
  <si>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</si>
  <si>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</si>
  <si>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</si>
  <si>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</si>
  <si>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</si>
  <si>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</si>
  <si>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</si>
  <si>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</si>
  <si>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</si>
  <si>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</si>
  <si>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</si>
  <si>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</si>
  <si>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</si>
  <si>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</si>
  <si>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</si>
  <si>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</si>
  <si>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</si>
  <si>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</si>
  <si>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</si>
  <si>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</si>
  <si>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</si>
  <si>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</si>
  <si>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</si>
  <si>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</si>
  <si>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</si>
  <si>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</si>
  <si>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</si>
  <si>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</si>
  <si>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</si>
  <si>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</si>
  <si>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</si>
  <si>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</si>
  <si>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</si>
  <si>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</si>
  <si>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</si>
  <si>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</si>
  <si>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</si>
  <si>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</si>
  <si>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</si>
  <si>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</si>
  <si>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</si>
  <si>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</si>
  <si>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</si>
  <si>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</si>
  <si>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</si>
  <si>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</si>
  <si>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</si>
  <si>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</si>
  <si>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</si>
  <si>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</si>
  <si>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</si>
  <si>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</si>
  <si>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</si>
  <si>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</si>
  <si>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</si>
  <si>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</si>
  <si>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</si>
  <si>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</si>
  <si>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</si>
  <si>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</si>
  <si>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</si>
  <si>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</si>
  <si>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</si>
  <si>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</si>
  <si>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</si>
  <si>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</si>
  <si>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</si>
  <si>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</si>
  <si>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</si>
  <si>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</si>
  <si>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</si>
  <si>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</si>
  <si>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</si>
  <si>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</si>
  <si>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</si>
  <si>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</si>
  <si>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</si>
  <si>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</si>
  <si>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</si>
  <si>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</si>
  <si>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</si>
  <si>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</si>
  <si>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</si>
  <si>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</si>
  <si>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</si>
  <si>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</si>
  <si>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</si>
  <si>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</si>
  <si>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</si>
  <si>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</si>
  <si>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</si>
  <si>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</si>
  <si>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</si>
  <si>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</si>
  <si>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</si>
  <si>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</si>
  <si>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</si>
  <si>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</si>
  <si>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</si>
  <si>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</si>
  <si>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</si>
  <si>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</si>
  <si>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</si>
  <si>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</si>
  <si>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</si>
  <si>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</si>
  <si>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</si>
  <si>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</si>
  <si>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</si>
  <si>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</si>
  <si>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</si>
  <si>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</si>
  <si>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</si>
  <si>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</si>
  <si>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</si>
  <si>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</si>
  <si>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</si>
  <si>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</si>
  <si>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</si>
  <si>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</si>
  <si>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</si>
  <si>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</si>
  <si>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</si>
  <si>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</si>
  <si>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</si>
  <si>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</si>
  <si>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</si>
  <si>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</si>
  <si>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</si>
  <si>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</si>
  <si>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</si>
  <si>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</si>
  <si>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</si>
  <si>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</si>
  <si>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</si>
  <si>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</si>
  <si>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</si>
  <si>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</si>
  <si>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</si>
  <si>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</si>
  <si>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</si>
  <si>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</si>
  <si>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</si>
  <si>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</si>
  <si>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</si>
  <si>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</si>
  <si>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</si>
  <si>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</si>
  <si>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</si>
  <si>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</si>
  <si>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</si>
  <si>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</si>
  <si>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</si>
  <si>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</si>
  <si>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</si>
  <si>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</si>
  <si>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</si>
  <si>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</si>
  <si>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</si>
  <si>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</si>
  <si>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</si>
  <si>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</si>
  <si>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</si>
  <si>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</si>
  <si>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</si>
  <si>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</si>
  <si>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</si>
  <si>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</si>
  <si>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</si>
  <si>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</si>
  <si>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</si>
  <si>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</si>
  <si>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</si>
  <si>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</si>
  <si>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</si>
  <si>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</si>
  <si>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</si>
  <si>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</si>
  <si>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</si>
  <si>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</si>
  <si>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</si>
  <si>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</si>
  <si>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</si>
  <si>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</si>
  <si>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</si>
  <si>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</si>
  <si>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</si>
  <si>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</si>
  <si>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</si>
  <si>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</si>
  <si>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</si>
  <si>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</si>
  <si>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</si>
  <si>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</si>
  <si>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</si>
  <si>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</si>
  <si>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</si>
  <si>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</si>
  <si>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</si>
  <si>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</si>
  <si>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</si>
  <si>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</si>
  <si>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</si>
  <si>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</si>
  <si>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</si>
  <si>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</si>
  <si>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</si>
  <si>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</si>
  <si>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</si>
  <si>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</si>
  <si>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</si>
  <si>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</si>
  <si>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</si>
  <si>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</si>
  <si>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</si>
  <si>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</si>
  <si>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</si>
  <si>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</si>
  <si>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</si>
  <si>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</si>
  <si>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</si>
  <si>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</si>
  <si>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</si>
  <si>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</si>
  <si>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</si>
  <si>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</si>
  <si>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</si>
  <si>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</si>
  <si>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</si>
  <si>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</si>
  <si>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</si>
  <si>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</si>
  <si>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</si>
  <si>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</si>
  <si>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</si>
  <si>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</si>
  <si>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</si>
  <si>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</si>
  <si>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</si>
  <si>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</si>
  <si>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</si>
  <si>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</si>
  <si>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</si>
  <si>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</si>
  <si>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</si>
  <si>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</si>
  <si>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</si>
  <si>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</si>
  <si>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</si>
  <si>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</si>
  <si>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</si>
  <si>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</si>
  <si>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</si>
  <si>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</si>
  <si>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</si>
  <si>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</si>
  <si>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</si>
  <si>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</si>
  <si>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</si>
  <si>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</si>
  <si>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</si>
  <si>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</si>
  <si>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</si>
  <si>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</si>
  <si>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</si>
  <si>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</si>
  <si>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</si>
  <si>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</si>
  <si>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</si>
  <si>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</si>
  <si>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</si>
  <si>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</si>
  <si>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</si>
  <si>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</si>
  <si>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</si>
  <si>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</si>
  <si>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</si>
  <si>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</si>
  <si>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</si>
  <si>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</si>
  <si>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</si>
  <si>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</si>
  <si>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</si>
  <si>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</si>
  <si>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</si>
  <si>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</si>
  <si>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</si>
  <si>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</si>
  <si>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</si>
  <si>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</si>
  <si>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</si>
  <si>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</si>
  <si>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</si>
  <si>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</si>
  <si>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</si>
  <si>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</si>
  <si>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</si>
  <si>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</si>
  <si>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</si>
  <si>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</si>
  <si>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</si>
  <si>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</si>
  <si>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</si>
  <si>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</si>
  <si>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</si>
  <si>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</si>
  <si>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</si>
  <si>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</si>
  <si>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</si>
  <si>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</si>
  <si>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</si>
  <si>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</si>
  <si>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</si>
  <si>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</si>
  <si>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</si>
  <si>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</si>
  <si>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</si>
  <si>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</si>
  <si>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</si>
  <si>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</si>
  <si>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</si>
  <si>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</si>
  <si>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</si>
  <si>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</si>
  <si>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</si>
  <si>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</si>
  <si>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</si>
  <si>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</si>
  <si>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</si>
  <si>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</si>
  <si>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</si>
  <si>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</si>
  <si>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</si>
  <si>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</si>
  <si>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</si>
  <si>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</si>
  <si>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</si>
  <si>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</si>
  <si>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</si>
  <si>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</si>
  <si>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</si>
  <si>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</si>
  <si>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</si>
  <si>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</si>
  <si>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</si>
  <si>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</si>
  <si>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</si>
  <si>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</si>
  <si>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</si>
  <si>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</si>
  <si>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</si>
  <si>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</si>
  <si>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</si>
  <si>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</si>
  <si>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</si>
  <si>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</si>
  <si>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</si>
  <si>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</si>
  <si>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</si>
  <si>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</si>
  <si>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</si>
  <si>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</si>
  <si>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</si>
  <si>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</si>
  <si>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</si>
  <si>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</si>
  <si>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</si>
  <si>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</si>
  <si>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</si>
  <si>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</si>
  <si>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</si>
  <si>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</si>
  <si>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</si>
  <si>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</si>
  <si>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</si>
  <si>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</si>
  <si>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</si>
  <si>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</si>
  <si>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</si>
  <si>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</si>
  <si>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</si>
  <si>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</si>
  <si>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</si>
  <si>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</si>
  <si>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</si>
  <si>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</si>
  <si>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</si>
  <si>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</si>
  <si>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</si>
  <si>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</si>
  <si>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</si>
  <si>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</si>
  <si>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</si>
  <si>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</si>
  <si>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</si>
  <si>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</si>
  <si>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</si>
  <si>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</si>
  <si>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</si>
  <si>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</si>
  <si>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</si>
  <si>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</si>
  <si>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</si>
  <si>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</si>
  <si>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</si>
  <si>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</si>
  <si>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</si>
  <si>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</si>
  <si>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</si>
  <si>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</si>
  <si>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</si>
  <si>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</si>
  <si>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</si>
  <si>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</si>
  <si>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</si>
  <si>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</si>
  <si>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</si>
  <si>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</si>
  <si>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</si>
  <si>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</si>
  <si>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</si>
  <si>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</si>
  <si>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</si>
  <si>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</si>
  <si>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</si>
  <si>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</si>
  <si>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</si>
  <si>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</si>
  <si>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</si>
  <si>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</si>
  <si>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</si>
  <si>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</si>
  <si>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</si>
  <si>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</si>
  <si>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</si>
  <si>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</si>
  <si>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</si>
  <si>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</si>
  <si>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</si>
  <si>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</si>
  <si>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</si>
  <si>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</si>
  <si>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</si>
  <si>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</si>
  <si>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</si>
  <si>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</si>
  <si>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</si>
  <si>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</si>
  <si>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</si>
  <si>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</si>
  <si>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</si>
  <si>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</si>
  <si>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</si>
  <si>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</si>
  <si>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</si>
  <si>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</si>
  <si>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</si>
  <si>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</si>
  <si>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</si>
  <si>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</si>
  <si>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</si>
  <si>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</si>
  <si>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</si>
  <si>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</si>
  <si>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</si>
  <si>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</si>
  <si>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</si>
  <si>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</si>
  <si>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</si>
  <si>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</si>
  <si>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</si>
  <si>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</si>
  <si>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</si>
  <si>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</si>
  <si>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</si>
  <si>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</si>
  <si>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</si>
  <si>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</si>
  <si>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</si>
  <si>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</si>
  <si>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</si>
  <si>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</si>
  <si>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</si>
  <si>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</si>
  <si>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</si>
  <si>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</si>
  <si>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</si>
  <si>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</si>
  <si>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</si>
  <si>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</si>
  <si>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</si>
  <si>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</si>
  <si>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</si>
  <si>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</si>
  <si>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</si>
  <si>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</si>
  <si>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</si>
  <si>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</si>
  <si>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</si>
  <si>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</si>
  <si>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</si>
  <si>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</si>
  <si>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</si>
  <si>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</si>
  <si>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</si>
  <si>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</si>
  <si>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</si>
  <si>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</si>
  <si>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</si>
  <si>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</si>
  <si>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</si>
  <si>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</si>
  <si>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</si>
  <si>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</si>
  <si>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</si>
  <si>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</si>
  <si>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</si>
  <si>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</si>
  <si>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</si>
  <si>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</si>
  <si>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</si>
  <si>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</si>
  <si>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</si>
  <si>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</si>
  <si>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</si>
  <si>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</si>
  <si>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</si>
  <si>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</si>
  <si>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</si>
  <si>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</si>
  <si>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</si>
  <si>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</si>
  <si>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</si>
  <si>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</si>
  <si>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</si>
  <si>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</si>
  <si>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</si>
  <si>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</si>
  <si>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</si>
  <si>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</si>
  <si>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</si>
  <si>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</si>
  <si>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</si>
  <si>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</si>
  <si>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</si>
  <si>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</si>
  <si>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</si>
  <si>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</si>
  <si>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</si>
  <si>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</si>
  <si>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</si>
  <si>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</si>
  <si>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</si>
  <si>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</si>
  <si>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</si>
  <si>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</si>
  <si>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</si>
  <si>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</si>
  <si>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</si>
  <si>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</si>
  <si>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</si>
  <si>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</si>
  <si>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</si>
  <si>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</si>
  <si>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</si>
  <si>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</si>
  <si>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</si>
  <si>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</si>
  <si>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</si>
  <si>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</si>
  <si>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</si>
  <si>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</si>
  <si>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</si>
  <si>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</si>
  <si>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</si>
  <si>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</si>
  <si>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</si>
  <si>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</si>
  <si>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</si>
  <si>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</si>
  <si>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</si>
  <si>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</si>
  <si>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</si>
  <si>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</si>
  <si>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</si>
  <si>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</si>
  <si>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</si>
  <si>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</si>
  <si>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</si>
  <si>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</si>
  <si>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</si>
  <si>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</si>
  <si>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</si>
  <si>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</si>
  <si>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</si>
  <si>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</si>
  <si>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</si>
  <si>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</si>
  <si>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</si>
  <si>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</si>
  <si>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</si>
  <si>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</si>
  <si>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</si>
  <si>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</si>
  <si>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</si>
  <si>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</si>
  <si>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</si>
  <si>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</si>
  <si>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</si>
  <si>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</si>
  <si>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</si>
  <si>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</si>
  <si>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</si>
  <si>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</si>
  <si>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</si>
  <si>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</si>
  <si>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</si>
  <si>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</si>
  <si>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</si>
  <si>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</si>
  <si>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</si>
  <si>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</si>
  <si>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</si>
  <si>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</si>
  <si>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</si>
  <si>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</si>
  <si>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</si>
  <si>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</si>
  <si>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</si>
  <si>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</si>
  <si>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</si>
  <si>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</si>
  <si>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</si>
  <si>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</si>
  <si>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</si>
  <si>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</si>
  <si>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</si>
  <si>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</si>
  <si>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</si>
  <si>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</si>
  <si>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</si>
  <si>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</si>
  <si>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</si>
  <si>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</si>
  <si>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</si>
  <si>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</si>
  <si>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</si>
  <si>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</si>
  <si>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</si>
  <si>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</si>
  <si>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</si>
  <si>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</si>
  <si>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</si>
  <si>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</si>
  <si>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</si>
  <si>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</si>
  <si>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</si>
  <si>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</si>
  <si>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</si>
  <si>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</si>
  <si>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</si>
  <si>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</si>
  <si>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</si>
  <si>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</si>
  <si>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</si>
  <si>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</si>
  <si>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</si>
  <si>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</si>
  <si>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</si>
  <si>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</si>
  <si>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</si>
  <si>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</si>
  <si>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</si>
  <si>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</si>
  <si>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</si>
  <si>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</si>
  <si>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</si>
  <si>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</si>
  <si>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</si>
  <si>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</si>
  <si>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</si>
  <si>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</si>
  <si>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</si>
  <si>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</si>
  <si>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</si>
  <si>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</si>
  <si>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</si>
  <si>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</si>
  <si>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</si>
  <si>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</si>
  <si>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</si>
  <si>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</si>
  <si>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</si>
  <si>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</si>
  <si>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</si>
  <si>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</si>
  <si>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</si>
  <si>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</si>
  <si>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</si>
  <si>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</si>
  <si>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</si>
  <si>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</si>
  <si>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</si>
  <si>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</si>
  <si>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</si>
  <si>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</si>
  <si>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</si>
  <si>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</si>
  <si>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</si>
  <si>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</si>
  <si>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</si>
  <si>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</si>
  <si>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</si>
  <si>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</si>
  <si>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</si>
  <si>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</si>
  <si>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</si>
  <si>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</si>
  <si>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</si>
  <si>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</si>
  <si>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</si>
  <si>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</si>
  <si>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</si>
  <si>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</si>
  <si>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</si>
  <si>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</si>
  <si>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</si>
  <si>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</si>
  <si>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</si>
  <si>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</si>
  <si>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</si>
  <si>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</si>
  <si>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</si>
  <si>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</si>
  <si>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</si>
  <si>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</si>
  <si>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</si>
  <si>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</si>
  <si>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</si>
  <si>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</si>
  <si>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</si>
  <si>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</si>
  <si>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</si>
  <si>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</si>
  <si>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</si>
  <si>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</si>
  <si>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</si>
  <si>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</si>
  <si>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</si>
  <si>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</si>
  <si>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</si>
  <si>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</si>
  <si>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</si>
  <si>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</si>
  <si>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</si>
  <si>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</si>
  <si>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</si>
  <si>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</si>
  <si>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</si>
  <si>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</si>
  <si>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</si>
  <si>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</si>
  <si>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</si>
  <si>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</si>
  <si>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</si>
  <si>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</si>
  <si>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</si>
  <si>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</si>
  <si>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</si>
  <si>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</si>
  <si>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</si>
  <si>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</si>
  <si>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</si>
  <si>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</si>
  <si>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</si>
  <si>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</si>
  <si>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</si>
  <si>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</si>
  <si>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</si>
  <si>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</si>
  <si>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</si>
  <si>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</si>
  <si>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</si>
  <si>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</si>
  <si>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</si>
  <si>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</si>
  <si>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</si>
  <si>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</si>
  <si>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</si>
  <si>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</si>
  <si>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</si>
  <si>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</si>
  <si>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</si>
  <si>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</si>
  <si>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</si>
  <si>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</si>
  <si>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</si>
  <si>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</si>
  <si>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</si>
  <si>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</si>
  <si>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</si>
  <si>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</si>
  <si>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</si>
  <si>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</si>
  <si>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</si>
  <si>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</si>
  <si>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</si>
  <si>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</si>
  <si>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</si>
  <si>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</si>
  <si>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</si>
  <si>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</si>
  <si>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</si>
  <si>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</si>
  <si>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</si>
  <si>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</si>
  <si>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</si>
  <si>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</si>
  <si>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</si>
  <si>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</si>
  <si>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</si>
  <si>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</si>
  <si>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</si>
  <si>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</si>
  <si>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</si>
  <si>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</si>
  <si>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</si>
  <si>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</si>
  <si>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</si>
  <si>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</si>
  <si>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</si>
  <si>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</si>
  <si>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</si>
  <si>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</si>
  <si>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</si>
  <si>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</si>
  <si>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</si>
  <si>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</si>
  <si>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</si>
  <si>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</si>
  <si>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</si>
  <si>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</si>
  <si>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</si>
  <si>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</si>
  <si>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</si>
  <si>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</si>
  <si>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</si>
  <si>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</si>
  <si>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</si>
  <si>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</si>
  <si>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</si>
  <si>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</si>
  <si>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</si>
  <si>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</si>
  <si>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</si>
  <si>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</si>
  <si>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</si>
  <si>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</si>
  <si>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</si>
  <si>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</si>
  <si>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</si>
  <si>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</si>
  <si>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</si>
  <si>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</si>
  <si>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</si>
  <si>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</si>
  <si>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</si>
  <si>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</si>
  <si>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</si>
  <si>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</si>
  <si>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</si>
  <si>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</si>
  <si>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</si>
  <si>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</si>
  <si>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</si>
  <si>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</si>
  <si>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</si>
  <si>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</si>
  <si>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</si>
  <si>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</si>
  <si>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</si>
  <si>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</si>
  <si>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</si>
  <si>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</si>
  <si>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</si>
  <si>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</si>
  <si>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</si>
  <si>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</si>
  <si>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</si>
  <si>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</si>
  <si>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</si>
  <si>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</si>
  <si>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</si>
  <si>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</si>
  <si>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</si>
  <si>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</si>
  <si>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</si>
  <si>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</si>
  <si>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</si>
  <si>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</si>
  <si>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</si>
  <si>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</si>
  <si>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</si>
  <si>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</si>
  <si>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</si>
  <si>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</si>
  <si>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</si>
  <si>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</si>
  <si>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</si>
  <si>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</si>
  <si>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</si>
  <si>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</si>
  <si>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</si>
  <si>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</si>
  <si>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</si>
  <si>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</si>
  <si>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</si>
  <si>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</si>
  <si>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</si>
  <si>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</si>
  <si>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</si>
  <si>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</si>
  <si>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</si>
  <si>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</si>
  <si>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</si>
  <si>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</si>
  <si>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</si>
  <si>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</si>
  <si>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</si>
  <si>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</si>
  <si>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</si>
  <si>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</si>
  <si>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</si>
  <si>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</si>
  <si>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</si>
  <si>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</si>
  <si>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</si>
  <si>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</si>
  <si>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</si>
  <si>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</si>
  <si>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</si>
  <si>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</si>
  <si>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</si>
  <si>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</si>
  <si>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</si>
  <si>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</si>
  <si>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</si>
  <si>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</si>
  <si>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</si>
  <si>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</si>
  <si>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</si>
  <si>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</si>
  <si>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</si>
  <si>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</si>
  <si>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</si>
  <si>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</si>
  <si>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</si>
  <si>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</si>
  <si>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</si>
  <si>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</si>
  <si>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</si>
  <si>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</si>
  <si>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</si>
  <si>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</si>
  <si>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</si>
  <si>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</si>
  <si>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</si>
  <si>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</si>
  <si>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</si>
  <si>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</si>
  <si>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</si>
  <si>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</si>
  <si>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</si>
  <si>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</si>
  <si>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</si>
  <si>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</si>
  <si>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</si>
  <si>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</si>
  <si>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</si>
  <si>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</si>
  <si>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</si>
  <si>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</si>
  <si>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</si>
  <si>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</si>
  <si>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</si>
  <si>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</si>
  <si>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</si>
  <si>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</si>
  <si>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</si>
  <si>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</si>
  <si>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</si>
  <si>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</si>
  <si>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</si>
  <si>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</si>
  <si>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</si>
  <si>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</si>
  <si>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</si>
  <si>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</si>
  <si>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</si>
  <si>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</si>
  <si>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</si>
  <si>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</si>
  <si>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</si>
  <si>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</si>
  <si>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</si>
  <si>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</si>
  <si>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</si>
  <si>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</si>
  <si>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</si>
  <si>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</si>
  <si>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</si>
  <si>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</si>
  <si>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</si>
  <si>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</si>
  <si>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</si>
  <si>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</si>
  <si>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</si>
  <si>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</si>
  <si>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</si>
  <si>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</si>
  <si>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</si>
  <si>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</si>
  <si>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</si>
  <si>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</si>
  <si>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</si>
  <si>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</si>
  <si>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</si>
  <si>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</si>
  <si>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</si>
  <si>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</si>
  <si>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</si>
  <si>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</si>
  <si>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</si>
  <si>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</si>
  <si>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</si>
  <si>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</si>
  <si>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</si>
  <si>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</si>
  <si>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</si>
  <si>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</si>
  <si>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</si>
  <si>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</si>
  <si>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</si>
  <si>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</si>
  <si>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</si>
  <si>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</si>
  <si>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</si>
  <si>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</si>
  <si>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</si>
  <si>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</si>
  <si>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</si>
  <si>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</si>
  <si>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</si>
  <si>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</si>
  <si>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</si>
  <si>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</si>
  <si>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</si>
  <si>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</si>
  <si>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</si>
  <si>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</si>
  <si>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</si>
  <si>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</si>
  <si>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</si>
  <si>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</si>
  <si>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</si>
  <si>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</si>
  <si>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</si>
  <si>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</si>
  <si>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</si>
  <si>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</si>
  <si>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</si>
  <si>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</si>
  <si>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</si>
  <si>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</si>
  <si>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</si>
  <si>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</si>
  <si>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</si>
  <si>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</si>
  <si>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</si>
  <si>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</si>
  <si>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</si>
  <si>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</si>
  <si>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</si>
  <si>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</si>
  <si>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</si>
  <si>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</si>
  <si>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</si>
  <si>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</si>
  <si>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</si>
  <si>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</si>
  <si>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</si>
  <si>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</si>
  <si>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</si>
  <si>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</si>
  <si>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</si>
  <si>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</si>
  <si>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</si>
  <si>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</si>
  <si>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</si>
  <si>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</si>
  <si>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</si>
  <si>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</si>
  <si>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</si>
  <si>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</si>
  <si>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</si>
  <si>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</si>
  <si>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</si>
  <si>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</si>
  <si>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</si>
  <si>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</si>
  <si>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</si>
  <si>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</si>
  <si>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</si>
  <si>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</si>
  <si>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</si>
  <si>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</si>
  <si>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</si>
  <si>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</si>
  <si>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</si>
  <si>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</si>
  <si>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</si>
  <si>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</si>
  <si>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</si>
  <si>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</si>
  <si>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</si>
  <si>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</si>
  <si>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</si>
  <si>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</si>
  <si>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</si>
  <si>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</si>
  <si>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</si>
  <si>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</si>
  <si>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</si>
  <si>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</si>
  <si>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</si>
  <si>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</si>
  <si>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</si>
  <si>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</si>
  <si>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</si>
  <si>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</si>
  <si>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</si>
  <si>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</si>
  <si>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</si>
  <si>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</si>
  <si>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</si>
  <si>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</si>
  <si>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</si>
  <si>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</si>
  <si>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</si>
  <si>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</si>
  <si>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</si>
  <si>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</si>
  <si>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</si>
  <si>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</si>
  <si>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</si>
  <si>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</si>
  <si>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</si>
  <si>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</si>
  <si>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</si>
  <si>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</si>
  <si>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</si>
  <si>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</si>
  <si>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</si>
  <si>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</si>
  <si>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</si>
  <si>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</si>
  <si>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</si>
  <si>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</si>
  <si>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</si>
  <si>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</si>
  <si>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</si>
  <si>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</si>
  <si>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</si>
  <si>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</si>
  <si>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</si>
  <si>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</si>
  <si>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</si>
  <si>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</si>
  <si>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</si>
  <si>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</si>
  <si>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</si>
  <si>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</si>
  <si>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</si>
  <si>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</si>
  <si>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</si>
  <si>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</si>
  <si>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</si>
  <si>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</si>
  <si>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</si>
  <si>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</si>
  <si>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</si>
  <si>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</si>
  <si>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</si>
  <si>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</si>
  <si>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</si>
  <si>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</si>
  <si>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</si>
  <si>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</si>
  <si>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</si>
  <si>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</si>
  <si>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</si>
  <si>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</si>
  <si>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</si>
  <si>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</si>
  <si>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</si>
  <si>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</si>
  <si>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</si>
  <si>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</si>
  <si>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</si>
  <si>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</si>
  <si>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</si>
  <si>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</si>
  <si>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</si>
  <si>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</si>
  <si>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</si>
  <si>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</si>
  <si>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</si>
  <si>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</si>
  <si>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</si>
  <si>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</si>
  <si>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</si>
  <si>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</si>
  <si>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</si>
  <si>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</si>
  <si>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</si>
  <si>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</si>
  <si>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</si>
  <si>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</si>
  <si>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</si>
  <si>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</si>
  <si>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</si>
  <si>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</si>
  <si>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</si>
  <si>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</si>
  <si>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</si>
  <si>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</si>
  <si>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</si>
  <si>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</si>
  <si>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</si>
  <si>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</si>
  <si>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</si>
  <si>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</si>
  <si>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</si>
  <si>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</si>
  <si>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</si>
  <si>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</si>
  <si>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</si>
  <si>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</si>
  <si>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</si>
  <si>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</si>
  <si>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</si>
  <si>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</si>
  <si>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</si>
  <si>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</si>
  <si>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</si>
  <si>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</si>
  <si>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</si>
  <si>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</si>
  <si>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</si>
  <si>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</si>
  <si>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</si>
  <si>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</si>
  <si>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</si>
  <si>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</si>
  <si>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</si>
  <si>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</si>
  <si>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</si>
  <si>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</si>
  <si>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</si>
  <si>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</si>
  <si>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</si>
  <si>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</si>
  <si>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</si>
  <si>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</si>
  <si>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</si>
  <si>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</si>
  <si>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</si>
  <si>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</si>
  <si>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</si>
  <si>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</si>
  <si>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</si>
  <si>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</si>
  <si>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</si>
  <si>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</si>
  <si>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</si>
  <si>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</si>
  <si>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</si>
  <si>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</si>
  <si>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</si>
  <si>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</si>
  <si>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</si>
  <si>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</si>
  <si>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</si>
  <si>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</si>
  <si>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</si>
  <si>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</si>
  <si>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</si>
  <si>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</si>
  <si>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</si>
  <si>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</si>
  <si>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</si>
  <si>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</si>
  <si>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</si>
  <si>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</si>
  <si>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</si>
  <si>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</si>
  <si>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</si>
  <si>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</si>
  <si>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</si>
  <si>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</si>
  <si>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</si>
  <si>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</si>
  <si>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</si>
  <si>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</si>
  <si>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</si>
  <si>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</si>
  <si>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</si>
  <si>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</si>
  <si>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</si>
  <si>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</si>
  <si>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</si>
  <si>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</si>
  <si>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</si>
  <si>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</si>
  <si>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</si>
  <si>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</si>
  <si>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</si>
  <si>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</si>
  <si>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</si>
  <si>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</si>
  <si>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</si>
  <si>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</si>
  <si>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</si>
  <si>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</si>
  <si>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</si>
  <si>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</si>
  <si>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</si>
  <si>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</si>
  <si>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</si>
  <si>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</si>
  <si>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</si>
  <si>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</si>
  <si>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</si>
  <si>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</si>
  <si>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</si>
  <si>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</si>
  <si>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</si>
  <si>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</si>
  <si>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</si>
  <si>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</si>
  <si>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</si>
  <si>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</si>
  <si>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</si>
  <si>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</si>
  <si>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</si>
  <si>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</si>
  <si>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</si>
  <si>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</si>
  <si>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</si>
  <si>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</si>
  <si>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</si>
  <si>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</si>
  <si>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</si>
  <si>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</si>
  <si>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</si>
  <si>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</si>
  <si>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</si>
  <si>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</si>
  <si>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</si>
  <si>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</si>
  <si>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</si>
  <si>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</si>
  <si>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</si>
  <si>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</si>
  <si>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</si>
  <si>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</si>
  <si>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</si>
  <si>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</si>
  <si>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</si>
  <si>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</si>
  <si>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</si>
  <si>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</si>
  <si>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</si>
  <si>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</si>
  <si>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</si>
  <si>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</si>
  <si>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</si>
  <si>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</si>
  <si>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</si>
  <si>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</si>
  <si>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</si>
  <si>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</si>
  <si>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</si>
  <si>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</si>
  <si>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</si>
  <si>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</si>
  <si>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</si>
  <si>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</si>
  <si>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</si>
  <si>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</si>
  <si>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</si>
  <si>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</si>
  <si>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</si>
  <si>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</si>
  <si>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</si>
  <si>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</si>
  <si>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</si>
  <si>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</si>
  <si>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</si>
  <si>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</si>
  <si>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</si>
  <si>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</si>
  <si>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</si>
  <si>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</si>
  <si>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企业</t>
  </si>
  <si>
    <t>住宅、商业、地下车库</t>
    <phoneticPr fontId="6" type="noConversion"/>
  </si>
  <si>
    <t>一致</t>
  </si>
  <si>
    <t>出让</t>
  </si>
  <si>
    <t>地上商业</t>
  </si>
  <si>
    <t>住宅69.5年、地下商业39.5年、地下车库49.5年</t>
    <phoneticPr fontId="6" type="noConversion"/>
  </si>
  <si>
    <t>否</t>
  </si>
  <si>
    <t>居住项目</t>
  </si>
  <si>
    <t>地上</t>
  </si>
  <si>
    <t>商业</t>
  </si>
  <si>
    <t>地下</t>
  </si>
  <si>
    <t>车库</t>
  </si>
  <si>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</si>
  <si>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</si>
  <si>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</si>
  <si>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</si>
  <si>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</si>
  <si>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</si>
  <si>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</si>
  <si>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</si>
  <si>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</si>
  <si>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</si>
  <si>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</si>
  <si>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</si>
  <si>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</si>
  <si>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</si>
  <si>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</si>
  <si>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</si>
  <si>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</si>
  <si>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</si>
  <si>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</si>
  <si>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</si>
  <si>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</si>
  <si>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</si>
  <si>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</si>
  <si>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</si>
  <si>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</si>
  <si>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</si>
  <si>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</si>
  <si>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</si>
  <si>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</si>
  <si>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</si>
  <si>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</si>
  <si>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</si>
  <si>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</si>
  <si>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</si>
  <si>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</si>
  <si>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</si>
  <si>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</si>
  <si>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</si>
  <si>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</si>
  <si>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</si>
  <si>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</si>
  <si>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</si>
  <si>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</si>
  <si>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</si>
  <si>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</si>
  <si>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</si>
  <si>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</si>
  <si>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</si>
  <si>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</si>
  <si>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</si>
  <si>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</si>
  <si>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</si>
  <si>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</si>
  <si>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</si>
  <si>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</si>
  <si>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</si>
  <si>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复式住宅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</si>
  <si>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</si>
  <si>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</si>
  <si>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</si>
  <si>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</si>
  <si>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</si>
  <si>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</si>
  <si>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</si>
  <si>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</si>
  <si>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</si>
  <si>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</si>
  <si>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</si>
  <si>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</si>
  <si>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</si>
  <si>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</si>
  <si>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</si>
  <si>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</si>
  <si>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</si>
  <si>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</si>
  <si>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</si>
  <si>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</si>
  <si>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</si>
  <si>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</si>
  <si>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</si>
  <si>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</si>
  <si>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</si>
  <si>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</si>
  <si>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</si>
  <si>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</si>
  <si>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</si>
  <si>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</si>
  <si>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</si>
  <si>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</si>
  <si>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</si>
  <si>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</si>
  <si>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</si>
  <si>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</si>
  <si>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</si>
  <si>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</si>
  <si>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</si>
  <si>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</si>
  <si>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</si>
  <si>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</si>
  <si>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</si>
  <si>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</si>
  <si>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</si>
  <si>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</si>
  <si>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</si>
  <si>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</si>
  <si>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</si>
  <si>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</si>
  <si>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</si>
  <si>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</si>
  <si>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</si>
  <si>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</si>
  <si>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</si>
  <si>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</si>
  <si>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</si>
  <si>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</si>
  <si>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</si>
  <si>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</si>
  <si>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</si>
  <si>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</si>
  <si>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</si>
  <si>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</si>
  <si>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</si>
  <si>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</si>
  <si>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</si>
  <si>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</si>
  <si>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</si>
  <si>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</si>
  <si>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</si>
  <si>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</si>
  <si>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</si>
  <si>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</si>
  <si>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</si>
  <si>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</si>
  <si>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</si>
  <si>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</si>
  <si>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</si>
  <si>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</si>
  <si>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</si>
  <si>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</si>
  <si>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</si>
  <si>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</si>
  <si>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</si>
  <si>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</si>
  <si>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</si>
  <si>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</si>
  <si>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</si>
  <si>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</si>
  <si>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</si>
  <si>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</si>
  <si>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</si>
  <si>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</si>
  <si>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</si>
  <si>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</si>
  <si>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</si>
  <si>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</si>
  <si>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</si>
  <si>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</si>
  <si>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</si>
  <si>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</si>
  <si>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</si>
  <si>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</si>
  <si>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</si>
  <si>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</si>
  <si>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</si>
  <si>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</si>
  <si>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</si>
  <si>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</si>
  <si>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</si>
  <si>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</si>
  <si>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</si>
  <si>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</si>
  <si>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</si>
  <si>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</si>
  <si>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</si>
  <si>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</si>
  <si>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</si>
  <si>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</si>
  <si>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</si>
  <si>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t>单面临街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</si>
  <si>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</si>
  <si>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</si>
  <si>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</si>
  <si>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</si>
  <si>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</si>
  <si>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</si>
  <si>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</si>
  <si>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</si>
  <si>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</si>
  <si>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</si>
  <si>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</si>
  <si>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</si>
  <si>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</si>
  <si>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</si>
  <si>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</si>
  <si>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</si>
  <si>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</si>
  <si>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</si>
  <si>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</si>
  <si>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</si>
  <si>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</si>
  <si>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</si>
  <si>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</si>
  <si>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</si>
  <si>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</si>
  <si>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</si>
  <si>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</si>
  <si>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</si>
  <si>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</si>
  <si>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</si>
  <si>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</si>
  <si>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</si>
  <si>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</si>
  <si>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</si>
  <si>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</si>
  <si>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</si>
  <si>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</si>
  <si>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</si>
  <si>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</si>
  <si>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</si>
  <si>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</si>
  <si>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</si>
  <si>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</si>
  <si>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</si>
  <si>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</si>
  <si>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</si>
  <si>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</si>
  <si>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精装修</t>
    <phoneticPr fontId="27" type="noConversion"/>
  </si>
  <si>
    <t>普通装修</t>
    <phoneticPr fontId="27" type="noConversion"/>
  </si>
  <si>
    <t>简单装修</t>
    <phoneticPr fontId="27" type="noConversion"/>
  </si>
  <si>
    <t>毛坯</t>
    <phoneticPr fontId="27"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</si>
  <si>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</si>
  <si>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</si>
  <si>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</si>
  <si>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</si>
  <si>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</si>
  <si>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</si>
  <si>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</si>
  <si>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</si>
  <si>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</si>
  <si>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</si>
  <si>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</si>
  <si>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</si>
  <si>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估价对象所在区域基础设施水平达到“六通”。</t>
    <phoneticPr fontId="3" type="noConversion"/>
  </si>
  <si>
    <t>晋安区连江北路121号</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</si>
  <si>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</si>
  <si>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</si>
  <si>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</si>
  <si>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</si>
  <si>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</si>
  <si>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</si>
  <si>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</si>
  <si>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</si>
  <si>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</si>
  <si>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</si>
  <si>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</si>
  <si>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</si>
  <si>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</si>
  <si>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</si>
  <si>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</si>
  <si>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</si>
  <si>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</si>
  <si>
    <t>跃层</t>
    <phoneticPr fontId="21" type="noConversion"/>
  </si>
  <si>
    <t>福州盛景阳光城房地产开发有限公司</t>
    <phoneticPr fontId="6" type="noConversion"/>
  </si>
  <si>
    <t>批发零售用地、城镇住宅用地</t>
    <phoneticPr fontId="6" type="noConversion"/>
  </si>
  <si>
    <t>《不动产权证书》[闽（2018）福州市不动产权第0012297号]</t>
    <phoneticPr fontId="6" type="noConversion"/>
  </si>
  <si>
    <t>含保障性住房</t>
  </si>
  <si>
    <t>场地平整</t>
  </si>
  <si>
    <t>回迁安置房</t>
    <phoneticPr fontId="6" type="noConversion"/>
  </si>
  <si>
    <t>平整</t>
  </si>
  <si>
    <t>通路</t>
  </si>
  <si>
    <t>通电</t>
  </si>
  <si>
    <t>通讯</t>
  </si>
  <si>
    <t>通上水</t>
  </si>
  <si>
    <t>通下水</t>
  </si>
  <si>
    <t>高层住宅</t>
    <phoneticPr fontId="3" type="noConversion"/>
  </si>
  <si>
    <t>商业</t>
    <phoneticPr fontId="3" type="noConversion"/>
  </si>
  <si>
    <t>地下车库</t>
    <phoneticPr fontId="3" type="noConversion"/>
  </si>
  <si>
    <t>底商</t>
  </si>
  <si>
    <t>保障房</t>
    <phoneticPr fontId="3" type="noConversion"/>
  </si>
  <si>
    <t>定向安置房</t>
  </si>
  <si>
    <t>定向安置房</t>
    <phoneticPr fontId="14" type="noConversion"/>
  </si>
  <si>
    <t>平层住宅</t>
    <phoneticPr fontId="7" type="noConversion"/>
  </si>
  <si>
    <t>地下车库</t>
    <phoneticPr fontId="7" type="noConversion"/>
  </si>
  <si>
    <t>土地使用税：http://blog.sina.com.cn/s/blog_4530f0210101fner.html</t>
    <phoneticPr fontId="233" type="noConversion"/>
  </si>
  <si>
    <t>城市支路——龙庭路</t>
    <phoneticPr fontId="21" type="noConversion"/>
  </si>
  <si>
    <t>估价对象周边居住用地比例较大、居住小区规模较大和社区发展完善程度好，综合评价居住社区成熟度好。</t>
    <phoneticPr fontId="3" type="noConversion"/>
  </si>
  <si>
    <t>估价对象位于福建省鼓楼区龙庭路，周边商业氛围成熟度较好，人流量较大，商业繁华较好。</t>
    <phoneticPr fontId="3" type="noConversion"/>
  </si>
  <si>
    <t>估价对象周边道路密集程度较好、公共交通通达情况较好、有7、8、19等公共交通，停车便捷程度较好，综合评价交通便捷度较好。</t>
    <phoneticPr fontId="3" type="noConversion"/>
  </si>
  <si>
    <t>估价对象所在区域2公里范围内有：银行（邮政银行、中国银行），购物（正大广场购物中心、华翔超市），医院（福州市妇幼保健院、福州第六医院），学校（福州市鼓楼第五中心小学、闽江学院附属中学）等，公共配套设施齐备情况好。</t>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</si>
  <si>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</si>
  <si>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</si>
  <si>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</si>
  <si>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t>阳光城</t>
    <phoneticPr fontId="3" type="noConversion"/>
  </si>
  <si>
    <t>鼓楼区五一中路以东，龙庭路南北侧，五一新城地块</t>
    <phoneticPr fontId="6" type="noConversion"/>
  </si>
  <si>
    <t>鼓楼区五一中路以东，龙庭路南北侧，五一新城地块</t>
    <phoneticPr fontId="26" type="noConversion"/>
  </si>
  <si>
    <t>区域自然环境：爱民园、于山风景区等；人文环境：孝悌图书馆、福建大剧院；综合评价环境状况较好。</t>
    <phoneticPr fontId="3"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</si>
  <si>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较好。</t>
    </r>
    <phoneticPr fontId="26" type="noConversion"/>
  </si>
  <si>
    <t>所在区域2公里范围内有：银行（中国建设银行、厦门国际银行），购物（东二环泰禾广场、佳家乐超市），医院（福建省肿瘤医院、福建省第二人民医院），学校（晋广幼儿园、晋安区教师进修学院附属小学）等，公共配套设施齐备情况较好。</t>
    <phoneticPr fontId="26" type="noConversion"/>
  </si>
  <si>
    <t>五通</t>
  </si>
  <si>
    <r>
      <rPr>
        <b/>
        <sz val="11"/>
        <rFont val="仿宋_GB2312"/>
        <family val="3"/>
        <charset val="134"/>
      </rPr>
      <t>估价对象</t>
    </r>
    <r>
      <rPr>
        <b/>
        <sz val="11"/>
        <rFont val="Arial"/>
        <family val="2"/>
      </rPr>
      <t>XX</t>
    </r>
    <r>
      <rPr>
        <b/>
        <sz val="11"/>
        <rFont val="仿宋_GB2312"/>
        <family val="3"/>
        <charset val="134"/>
      </rPr>
      <t>用房的比较价格（楼面单价，元</t>
    </r>
    <r>
      <rPr>
        <b/>
        <sz val="11"/>
        <rFont val="Arial"/>
        <family val="2"/>
      </rPr>
      <t>/</t>
    </r>
    <r>
      <rPr>
        <b/>
        <sz val="11"/>
        <rFont val="仿宋_GB2312"/>
        <family val="3"/>
        <charset val="134"/>
      </rPr>
      <t>平方米）</t>
    </r>
    <phoneticPr fontId="3" type="noConversion"/>
  </si>
  <si>
    <t>世茂璀璨天城</t>
    <phoneticPr fontId="3" type="noConversion"/>
  </si>
  <si>
    <t>精装修</t>
  </si>
  <si>
    <t>底商</t>
    <phoneticPr fontId="7" type="noConversion"/>
  </si>
  <si>
    <t>阳光城</t>
    <phoneticPr fontId="21" type="noConversion"/>
  </si>
  <si>
    <r>
      <rPr>
        <sz val="11"/>
        <rFont val="宋体"/>
        <family val="3"/>
        <charset val="134"/>
      </rPr>
      <t>周边道路密集程度一般、公共交通通达情况较好、有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</si>
  <si>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</si>
  <si>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</si>
  <si>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t>周边居住用地比例较大、居住小区规模较大和社区发展完善程度较好，综合评价居住社区成熟度较好。</t>
    <phoneticPr fontId="21"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</si>
  <si>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</si>
  <si>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周边道路密集程度一般、公共交通通达情况一般，有56路、68路等公共交通，停车便捷程度较好，综合评价交通便捷度一般。</t>
    <phoneticPr fontId="21" type="noConversion"/>
  </si>
  <si>
    <r>
      <rPr>
        <sz val="11"/>
        <rFont val="宋体"/>
        <family val="3"/>
        <charset val="134"/>
      </rPr>
      <t>所在区域</t>
    </r>
    <r>
      <rPr>
        <sz val="11"/>
        <rFont val="Arial"/>
        <family val="2"/>
      </rPr>
      <t>2</t>
    </r>
    <r>
      <rPr>
        <sz val="11"/>
        <rFont val="宋体"/>
        <family val="3"/>
        <charset val="134"/>
      </rPr>
      <t>公里范围内有：银行（农业银行、交通银行），购物（世欧广场购物中心、永辉超市），学校（日出东方小学、闽江学院学校）等，晋安区医院，公共配套设施齐备情况较好。</t>
    </r>
    <phoneticPr fontId="21" type="noConversion"/>
  </si>
  <si>
    <t>区域自然环境：周边大型绿化较多，有牛岗山公园、鹤林生态公园，自然环境较好；人文环境：晋安体育馆馆；综合评价环境状况较好。</t>
    <phoneticPr fontId="26" type="noConversion"/>
  </si>
  <si>
    <t>区域自然环境：光明港公园、连潘公园；人文环境：福州市博物馆、福州夏新阁工艺厂展示馆等人文景观；综合评价环境状况较好。</t>
    <phoneticPr fontId="21"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</si>
  <si>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t>
    </r>
    <r>
      <rPr>
        <sz val="11"/>
        <rFont val="Arial"/>
        <family val="2"/>
      </rPr>
      <t>153</t>
    </r>
    <r>
      <rPr>
        <sz val="11"/>
        <rFont val="宋体"/>
        <family val="3"/>
        <charset val="134"/>
      </rPr>
      <t>路等公共交通，停车便捷程度较好，综合评价交通便捷度较好。</t>
    </r>
    <phoneticPr fontId="21" type="noConversion"/>
  </si>
  <si>
    <t>周边道路密集程度较好、公共交通通达情况较好，有28路、103路、153路等公共交通，停车便捷程度较好，综合评价交通便捷度较好。</t>
    <phoneticPr fontId="27" type="noConversion"/>
  </si>
  <si>
    <t>周边道路密集程度较好、公共交通通达情况较好，有28路、103路、153路等公共交通，停车便捷程度较好，综合评价交通便捷度较好。</t>
    <phoneticPr fontId="21" type="noConversion"/>
  </si>
  <si>
    <t>周边道路密集程度较好、公共交通通达情况较好，有28路、103路、153路等公共交通，停车便捷程度较好，综合评价交通便捷度较好。</t>
    <phoneticPr fontId="27" type="noConversion"/>
  </si>
  <si>
    <t>所在区域2公里范围内有：银行（农业银行、交通银行），购物（世欧广场购物中心、永辉超市），学校（日出东方小学、闽江学院学校）等，晋安区医院，公共配套设施齐备情况较好。</t>
    <phoneticPr fontId="27"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</si>
  <si>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</si>
  <si>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所在区域2公里范围内有：银行（福州市农村商业银行、中国银行），购物（粤客购物中心、永佳乐超市），医院（福州市晋安区妇幼保健院、福州神康医院），学校（战坂小学、晋安区第二实验小学）等，公共配套设施齐备情况较好。</t>
    <phoneticPr fontId="27" type="noConversion"/>
  </si>
  <si>
    <t>所在区域2公里范围内有：银行（农业银行、交通银行），购物（世欧广场购物中心、永辉超市），学校（日出东方小学、闽江学院学校）等，晋安区医院，公共配套设施齐备情况较好。</t>
    <phoneticPr fontId="21" type="noConversion"/>
  </si>
  <si>
    <t>所在区域2公里范围内有：银行（农业银行、交通银行），购物（世欧广场购物中心、永辉超市），学校（日出东方小学、闽江学院学校）等，晋安区医院，公共配套设施齐备情况较好。</t>
    <phoneticPr fontId="27" type="noConversion"/>
  </si>
  <si>
    <t>区域自然环境：周边大型绿化较多，有牛岗山公园、鹤林生态公园，自然环境较好；人文环境：晋安体育馆馆；综合评价环境状况较好。</t>
    <phoneticPr fontId="21" type="noConversion"/>
  </si>
  <si>
    <t>区域自然环境：周边大型绿化较多，有牛岗山公园、鹤林生态公园，自然环境较好；人文环境：晋安体育馆馆；综合评价环境状况较好。</t>
    <phoneticPr fontId="27" type="noConversion"/>
  </si>
  <si>
    <t>区域自然环境：光明港公园、连潘公园；人文环境：福州市博物馆、福州夏新阁工艺厂展示馆等人文景观；综合评价环境状况较好。</t>
    <phoneticPr fontId="27" type="noConversion"/>
  </si>
  <si>
    <t>住宅、商业</t>
  </si>
  <si>
    <t>住宅、商业</t>
    <phoneticPr fontId="26" type="noConversion"/>
  </si>
  <si>
    <t>住宅</t>
    <phoneticPr fontId="26" type="noConversion"/>
  </si>
  <si>
    <r>
      <rPr>
        <b/>
        <sz val="11"/>
        <rFont val="仿宋_GB2312"/>
        <family val="3"/>
        <charset val="134"/>
      </rPr>
      <t>估价对象住宅用地的比较价格（楼面单价，元</t>
    </r>
    <r>
      <rPr>
        <b/>
        <sz val="11"/>
        <rFont val="Arial"/>
        <family val="2"/>
      </rPr>
      <t>/</t>
    </r>
    <r>
      <rPr>
        <b/>
        <sz val="11"/>
        <rFont val="仿宋_GB2312"/>
        <family val="3"/>
        <charset val="134"/>
      </rPr>
      <t>平方米）</t>
    </r>
    <phoneticPr fontId="3" type="noConversion"/>
  </si>
  <si>
    <t>别墅</t>
  </si>
  <si>
    <t>别墅</t>
    <phoneticPr fontId="3" type="noConversion"/>
  </si>
  <si>
    <t>叠拼</t>
  </si>
  <si>
    <t>别墅</t>
    <phoneticPr fontId="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</si>
  <si>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</si>
  <si>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</si>
  <si>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</si>
  <si>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首开首融府</t>
    <phoneticPr fontId="21" type="noConversion"/>
  </si>
  <si>
    <t>泰禾金尊府二期</t>
    <phoneticPr fontId="21" type="noConversion"/>
  </si>
  <si>
    <t>世茂璀璨天城</t>
    <phoneticPr fontId="21" type="noConversion"/>
  </si>
  <si>
    <t>福晟钱隆首座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</si>
</sst>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楷体_GB231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06" fillId="17" borderId="16" xfId="0" applyNumberFormat="1" applyFont="1" applyFill="1" applyBorder="1" applyAlignment="1" applyProtection="1">
      <alignment horizontal="center" vertical="center" wrapText="1"/>
      <protection locked="0"/>
    </xf>
    <xf numFmtId="182" fontId="76" fillId="8" borderId="12" xfId="0" applyNumberFormat="1" applyFont="1" applyFill="1" applyBorder="1" applyAlignment="1" applyProtection="1">
      <alignment horizontal="center" vertical="center"/>
      <protection locked="0"/>
    </xf>
    <xf numFmtId="0" fontId="106" fillId="17" borderId="76"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177" fontId="277" fillId="0" borderId="2" xfId="0" applyNumberFormat="1" applyFont="1" applyBorder="1" applyAlignment="1" applyProtection="1">
      <alignment vertical="center" wrapText="1"/>
      <protection locked="0"/>
    </xf>
    <xf numFmtId="0" fontId="86" fillId="0" borderId="25" xfId="2" applyNumberFormat="1" applyFont="1" applyFill="1" applyBorder="1" applyAlignment="1" applyProtection="1">
      <alignment horizontal="center" vertical="center"/>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58" fillId="9" borderId="12" xfId="0"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8</xdr:col>
      <xdr:colOff>27122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8</xdr:col>
      <xdr:colOff>46622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8</xdr:col>
      <xdr:colOff>104775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37</xdr:row>
      <xdr:rowOff>0</xdr:rowOff>
    </xdr:from>
    <xdr:to>
      <xdr:col>18</xdr:col>
      <xdr:colOff>523875</xdr:colOff>
      <xdr:row>72</xdr:row>
      <xdr:rowOff>114300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67775" y="5676900"/>
          <a:ext cx="6696075" cy="6115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10</xdr:col>
      <xdr:colOff>609600</xdr:colOff>
      <xdr:row>38</xdr:row>
      <xdr:rowOff>104775</xdr:rowOff>
    </xdr:to>
    <xdr:pic>
      <xdr:nvPicPr>
        <xdr:cNvPr id="7"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1450"/>
          <a:ext cx="7467600" cy="6448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2656</v>
      </c>
      <c r="B1" s="2887" t="s">
        <v>2753</v>
      </c>
    </row>
    <row r="2" spans="1:55" s="2891" customFormat="1" ht="15" thickTop="1">
      <c r="A2" s="2889" t="s">
        <v>2660</v>
      </c>
      <c r="B2" s="2890" t="str">
        <f>'预评函-封皮'!B37</f>
        <v>福建省福州市鼓楼区五一中路以东，龙庭路南北侧，五一新城地块出让国有建设用地使用权抵押价格预评估</v>
      </c>
      <c r="AX2" s="2892"/>
      <c r="AZ2" s="2892"/>
      <c r="BA2" s="2893"/>
      <c r="BC2" s="2893"/>
    </row>
    <row r="3" spans="1:55" s="2894" customFormat="1">
      <c r="A3" s="2873" t="s">
        <v>2661</v>
      </c>
      <c r="B3" s="2876" t="str">
        <f>'预评函-封皮'!B40</f>
        <v>福州盛景阳光城房地产开发有限公司</v>
      </c>
    </row>
    <row r="4" spans="1:55" s="2875" customFormat="1">
      <c r="A4" s="2873" t="s">
        <v>2662</v>
      </c>
      <c r="B4" s="2874" t="str">
        <f>'预评函-封皮'!B46</f>
        <v>郑燚、王鹏</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2663</v>
      </c>
      <c r="B5" s="2896" t="str">
        <f>'预评函-封皮'!B49</f>
        <v>康正预评字号</v>
      </c>
    </row>
    <row r="6" spans="1:55" s="2897" customFormat="1" ht="15" thickTop="1">
      <c r="A6" s="2889" t="s">
        <v>2705</v>
      </c>
      <c r="B6" s="2890" t="str">
        <f>'预评函-1'!A4</f>
        <v>受贵公司委托，我公司对福建省福州市鼓楼区五一中路以东，龙庭路南北侧，五一新城地块出让国有建设用地使用权抵押价格进行了预评估。</v>
      </c>
      <c r="AM6" s="2898"/>
    </row>
    <row r="7" spans="1:55" s="2872" customFormat="1">
      <c r="A7" s="2873" t="s">
        <v>2657</v>
      </c>
      <c r="B7" s="2874" t="str">
        <f>'预评函-1'!A6</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2018年8月16日（评估专业人员勘察现场之日）</v>
      </c>
    </row>
    <row r="11" spans="1:55" s="2872" customFormat="1">
      <c r="A11" s="2873" t="s">
        <v>2665</v>
      </c>
      <c r="B11" s="2874" t="str">
        <f>'预评函-1'!A14</f>
        <v>根据《不动产权证书》[闽（2018）福州市不动产权第0012297号]，本次评估估价对象证载（地类）用途为批发零售用地、城镇住宅用地。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根据委托估价方介绍及评估专业人员现场勘查，本次评估估价对象实际土地开发程度为红线外市政基础设施达“五通”（即通路、通电、通讯、通上水、通下水）、宗地红线内场地平整。</v>
      </c>
    </row>
    <row r="14" spans="1:55" s="2872" customFormat="1">
      <c r="A14" s="2873" t="s">
        <v>2668</v>
      </c>
      <c r="B14" s="2874" t="str">
        <f>'预评函-1'!A18</f>
        <v>本次评估设定土地开发程度为红线外市政基础设施达“五通”、宗地红线内场地平整。</v>
      </c>
    </row>
    <row r="15" spans="1:55" s="2872" customFormat="1">
      <c r="A15" s="2873" t="s">
        <v>2664</v>
      </c>
      <c r="B15" s="2874" t="str">
        <f>'预评函-1'!A20</f>
        <v>根据《不动产权证书》[闽（2018）福州市不动产权第0012297号]，估价对象（分摊）出让国有建设用地使用权面积为17908.1平方米。根据，估价对象规划建筑面积为57683.92平方米。</v>
      </c>
    </row>
    <row r="16" spans="1:55" s="2872" customFormat="1">
      <c r="A16" s="2873" t="s">
        <v>2669</v>
      </c>
      <c r="B16" s="2874" t="str">
        <f>'预评函-1'!A22</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17" spans="1:48" s="2872" customFormat="1">
      <c r="A17" s="2873" t="s">
        <v>2670</v>
      </c>
      <c r="B17" s="2874" t="str">
        <f>'预评函-1'!A23</f>
        <v>本次评估设定估价对象剩余土地使用年限为住宅69.5年、地下商业39.5年、地下车库49.5年。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估价期日：2018年8月16日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批发零售用地、城镇住宅用地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红线外五通、宗地红线内场地平整</v>
      </c>
    </row>
    <row r="39" spans="1:2">
      <c r="A39" s="2873" t="s">
        <v>2719</v>
      </c>
      <c r="B39" s="2874" t="str">
        <f>'预评函-2'!L5</f>
        <v>红线外五通、宗地红线内场地平整</v>
      </c>
    </row>
    <row r="40" spans="1:2">
      <c r="A40" s="2873" t="s">
        <v>2738</v>
      </c>
      <c r="B40" s="2874" t="str">
        <f>'预评函-2'!M3</f>
        <v>（剩余）土地使用年限/年</v>
      </c>
    </row>
    <row r="41" spans="1:2">
      <c r="A41" s="2873" t="s">
        <v>2720</v>
      </c>
      <c r="B41" s="2874" t="str">
        <f>'预评函-2'!M5</f>
        <v>住宅69.5年、地下商业39.5年、地下车库49.5年</v>
      </c>
    </row>
    <row r="42" spans="1:2">
      <c r="A42" s="2873" t="s">
        <v>2739</v>
      </c>
      <c r="B42" s="2874" t="str">
        <f>'预评函-2'!N3</f>
        <v>（分摊）出让国有建设用地使用权面积/㎡</v>
      </c>
    </row>
    <row r="43" spans="1:2">
      <c r="A43" s="2873" t="s">
        <v>2721</v>
      </c>
      <c r="B43" s="2874">
        <f>'预评函-2'!N5</f>
        <v>17908.099999999999</v>
      </c>
    </row>
    <row r="44" spans="1:2">
      <c r="A44" s="2873" t="s">
        <v>2740</v>
      </c>
      <c r="B44" s="2874" t="str">
        <f>'预评函-2'!O3</f>
        <v>规划建筑面积/㎡</v>
      </c>
    </row>
    <row r="45" spans="1:2">
      <c r="A45" s="2873" t="s">
        <v>2722</v>
      </c>
      <c r="B45" s="2874">
        <f>'预评函-2'!O5</f>
        <v>57683.92</v>
      </c>
    </row>
    <row r="46" spans="1:2">
      <c r="A46" s="2873" t="s">
        <v>2723</v>
      </c>
      <c r="B46" s="2874">
        <f ca="1">'预评函-2'!P5</f>
        <v>46191</v>
      </c>
    </row>
    <row r="47" spans="1:2">
      <c r="A47" s="2873" t="s">
        <v>2724</v>
      </c>
      <c r="B47" s="2874">
        <f ca="1">'预评函-2'!Q5</f>
        <v>14340</v>
      </c>
    </row>
    <row r="48" spans="1:2">
      <c r="A48" s="2873" t="s">
        <v>2725</v>
      </c>
      <c r="B48" s="2874">
        <f ca="1">'预评函-2'!R5</f>
        <v>82720</v>
      </c>
    </row>
    <row r="49" spans="1:2">
      <c r="A49" s="2873" t="s">
        <v>2741</v>
      </c>
      <c r="B49" s="2874" t="str">
        <f>'预评函-2'!A6</f>
        <v>抵押价格</v>
      </c>
    </row>
    <row r="50" spans="1:2">
      <c r="A50" s="2873" t="s">
        <v>2726</v>
      </c>
      <c r="B50" s="2874">
        <f ca="1">'预评函-2'!R6</f>
        <v>82720</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5" thickBot="1">
      <c r="A54" s="2895" t="s">
        <v>2728</v>
      </c>
      <c r="B54" s="2896" t="str">
        <f>'预评函-2'!R8</f>
        <v>——</v>
      </c>
    </row>
    <row r="55" spans="1:2" ht="15"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2.基础设施条件：估价对象实际开发程度为红线外五通、宗地红线内场地平整；本次评估设定开发程度为红线外五通、宗地红线内场地平整。</v>
      </c>
    </row>
    <row r="57" spans="1:2">
      <c r="A57" s="2873" t="s">
        <v>2680</v>
      </c>
      <c r="B57" s="2874" t="str">
        <f>'预评函-3'!A4</f>
        <v>3.估价规划限制条件：详见。</v>
      </c>
    </row>
    <row r="58" spans="1:2" s="2888" customFormat="1" ht="15" thickBot="1">
      <c r="A58" s="2895" t="s">
        <v>2729</v>
      </c>
      <c r="B58" s="2896" t="str">
        <f>'预评函-3'!A5</f>
        <v>4.影响价格的其他限定条件：无。</v>
      </c>
    </row>
    <row r="59" spans="1:2" ht="15"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（1）根据估价对象《不动产权证书》原件，截至估价期日，估价对象已设定抵押。上述抵押权设定日期为，权利人为，权利范围为，权利价值为。</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2692</v>
      </c>
      <c r="B68" s="2899">
        <f>'预评函-3'!D30</f>
        <v>42558</v>
      </c>
    </row>
    <row r="69" spans="1:2" ht="15" thickTop="1">
      <c r="A69" s="2884" t="s">
        <v>2690</v>
      </c>
      <c r="B69" s="2885" t="str">
        <f>'预评函-3'!A20</f>
        <v>郑燚</v>
      </c>
    </row>
    <row r="70" spans="1:2">
      <c r="A70" s="2873" t="s">
        <v>2690</v>
      </c>
      <c r="B70" s="2880">
        <f>'预评函-3'!B20</f>
        <v>2014110011</v>
      </c>
    </row>
    <row r="71" spans="1:2">
      <c r="A71" s="2873" t="s">
        <v>2691</v>
      </c>
      <c r="B71" s="2874" t="str">
        <f>'预评函-3'!A21</f>
        <v>王鹏</v>
      </c>
    </row>
    <row r="72" spans="1:2" s="2888" customFormat="1" ht="15" thickBot="1">
      <c r="A72" s="2895" t="s">
        <v>2691</v>
      </c>
      <c r="B72" s="2901">
        <f ca="1">'预评函-3'!B21</f>
        <v>2002110030</v>
      </c>
    </row>
    <row r="73" spans="1:2" ht="15"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由于本次评估估价目的是评估储备国有建设用地使用权的“抵押价格”，因此本次评估设定土地开发程度为红线外市政基础设施达“五通”、宗地红线内场地平整。</v>
      </c>
    </row>
    <row r="75" spans="1:2" s="2888" customFormat="1" ht="15"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2787</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9"/>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5" t="s">
        <v>1940</v>
      </c>
      <c r="B1" s="3269" t="str">
        <f>IF(B10="北京市","北京市",C10)&amp;F10&amp;B16&amp;"国有建设用地使用权"&amp;B9&amp;"预评估"</f>
        <v>福建省福州市鼓楼区五一中路以东，龙庭路南北侧，五一新城地块出让国有建设用地使用权抵押价格预评估</v>
      </c>
      <c r="C1" s="3270"/>
      <c r="D1" s="3270"/>
      <c r="E1" s="3270"/>
      <c r="F1" s="3270"/>
      <c r="G1" s="3270"/>
      <c r="H1" s="3270"/>
      <c r="I1" s="3271"/>
      <c r="J1" s="1688"/>
      <c r="K1" s="2450" t="str">
        <f>IF(B10="北京市","北京市",C10)&amp;F10&amp;B16&amp;"国有建设用地使用权"&amp;B9</f>
        <v>福建省福州市鼓楼区五一中路以东，龙庭路南北侧，五一新城地块出让国有建设用地使用权抵押价格</v>
      </c>
      <c r="L1" s="1717"/>
      <c r="M1" s="1717"/>
      <c r="N1" s="1688"/>
      <c r="O1" s="1689"/>
      <c r="P1" s="1688"/>
      <c r="Q1" s="1688"/>
      <c r="R1" s="1688"/>
      <c r="S1" s="1688"/>
      <c r="T1" s="1688"/>
      <c r="U1" s="1688"/>
    </row>
    <row r="2" spans="1:21">
      <c r="A2" s="1656" t="s">
        <v>1941</v>
      </c>
      <c r="B2" s="1836"/>
      <c r="D2" s="1688"/>
      <c r="E2" s="1688"/>
      <c r="F2" s="1688"/>
      <c r="G2" s="1688"/>
      <c r="H2" s="1656"/>
      <c r="I2" s="1689"/>
      <c r="J2" s="1688"/>
      <c r="K2" s="2450" t="str">
        <f>IF(B10="北京市","北京市",C10)&amp;F10&amp;B16&amp;"国有建设用地使用权"</f>
        <v>福建省福州市鼓楼区五一中路以东，龙庭路南北侧，五一新城地块出让国有建设用地使用权</v>
      </c>
      <c r="L2" s="1717"/>
      <c r="M2" s="1717"/>
      <c r="N2" s="1688"/>
      <c r="O2" s="1689"/>
      <c r="P2" s="1688"/>
      <c r="Q2" s="1688"/>
      <c r="R2" s="1688"/>
      <c r="S2" s="1688"/>
      <c r="T2" s="1688"/>
      <c r="U2" s="1688"/>
    </row>
    <row r="3" spans="1:21">
      <c r="A3" s="1657" t="s">
        <v>1942</v>
      </c>
      <c r="B3" s="1658">
        <v>43328</v>
      </c>
      <c r="C3" s="1659" t="s">
        <v>1997</v>
      </c>
      <c r="D3" s="1658">
        <f>B3</f>
        <v>43328</v>
      </c>
      <c r="E3" s="1688"/>
      <c r="F3" s="1688"/>
      <c r="G3" s="1688"/>
      <c r="H3" s="1656"/>
      <c r="I3" s="1689"/>
      <c r="J3" s="1688"/>
      <c r="K3" s="1768"/>
      <c r="L3" s="1717"/>
      <c r="M3" s="1717"/>
      <c r="N3" s="1688"/>
      <c r="O3" s="1689"/>
      <c r="P3" s="1688"/>
      <c r="Q3" s="1688"/>
      <c r="R3" s="1688"/>
      <c r="S3" s="1688"/>
      <c r="T3" s="1688"/>
      <c r="U3" s="1688"/>
    </row>
    <row r="4" spans="1:21" ht="15" thickBot="1">
      <c r="A4" s="1660" t="s">
        <v>1943</v>
      </c>
      <c r="B4" s="1837" t="s">
        <v>2973</v>
      </c>
      <c r="C4" s="1840">
        <f>SUMIF(土地估价师,B4,估价师及机构信息!E3:E24)</f>
        <v>2014110011</v>
      </c>
      <c r="D4" s="1837" t="s">
        <v>2974</v>
      </c>
      <c r="E4" s="1840">
        <f ca="1">SUMIF(土地估价师,D4,估价师及机构信息!E3:E24)</f>
        <v>2002110030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郑燚、王鹏</v>
      </c>
      <c r="L4" s="1717"/>
      <c r="M4" s="1717"/>
      <c r="N4" s="1688"/>
      <c r="O4" s="1689"/>
      <c r="P4" s="1688"/>
      <c r="Q4" s="1688"/>
      <c r="R4" s="1688"/>
      <c r="S4" s="1688"/>
      <c r="T4" s="1688"/>
      <c r="U4" s="1688"/>
    </row>
    <row r="5" spans="1:21" ht="15" thickTop="1">
      <c r="A5" s="1661" t="s">
        <v>1944</v>
      </c>
      <c r="B5" s="1783" t="s">
        <v>3255</v>
      </c>
      <c r="C5" s="1662"/>
      <c r="D5" s="1663"/>
      <c r="E5" s="1688"/>
      <c r="F5" s="1688"/>
      <c r="G5" s="1688"/>
      <c r="H5" s="1656"/>
      <c r="I5" s="1689"/>
      <c r="J5" s="1688"/>
      <c r="K5" s="1768"/>
      <c r="L5" s="1717"/>
      <c r="M5" s="1717"/>
      <c r="N5" s="1688"/>
      <c r="O5" s="1689"/>
      <c r="P5" s="1688"/>
      <c r="Q5" s="1688"/>
      <c r="R5" s="1688"/>
      <c r="S5" s="1688"/>
      <c r="T5" s="1688"/>
      <c r="U5" s="1688"/>
    </row>
    <row r="6" spans="1:21" ht="26.25">
      <c r="A6" s="1659" t="s">
        <v>2706</v>
      </c>
      <c r="B6" s="1783" t="s">
        <v>2976</v>
      </c>
      <c r="C6" s="1755"/>
      <c r="D6" s="1664"/>
      <c r="E6" s="1688"/>
      <c r="F6" s="1688"/>
      <c r="G6" s="1688"/>
      <c r="H6" s="1656"/>
      <c r="I6" s="1689"/>
      <c r="J6" s="1688"/>
      <c r="K6" s="3050" t="str">
        <f>IF(COUNTIF(B6,"*上海银行*"),"上海银行","")</f>
        <v/>
      </c>
      <c r="L6" s="1717"/>
      <c r="M6" s="1717"/>
      <c r="N6" s="1688"/>
      <c r="O6" s="1689"/>
      <c r="P6" s="1688"/>
      <c r="Q6" s="1688"/>
      <c r="R6" s="1688"/>
      <c r="S6" s="1688"/>
      <c r="T6" s="1688"/>
      <c r="U6" s="1688"/>
    </row>
    <row r="7" spans="1:21">
      <c r="A7" s="1665" t="s">
        <v>2707</v>
      </c>
      <c r="B7" s="1783" t="s">
        <v>3255</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2977</v>
      </c>
      <c r="C8" s="1667"/>
      <c r="D8" s="3275" t="s">
        <v>1947</v>
      </c>
      <c r="E8" s="1838" t="s">
        <v>2978</v>
      </c>
      <c r="F8" s="1668"/>
      <c r="G8" s="1656"/>
      <c r="H8" s="1656"/>
      <c r="I8" s="1701"/>
      <c r="J8" s="1688"/>
      <c r="K8" s="1768"/>
      <c r="L8" s="1717"/>
      <c r="M8" s="1717"/>
      <c r="N8" s="1688"/>
      <c r="O8" s="1689"/>
      <c r="P8" s="1688"/>
      <c r="Q8" s="1688"/>
      <c r="R8" s="1688"/>
      <c r="S8" s="1688"/>
      <c r="T8" s="1688"/>
      <c r="U8" s="1688"/>
    </row>
    <row r="9" spans="1:21" ht="15" thickBot="1">
      <c r="A9" s="1669" t="s">
        <v>1946</v>
      </c>
      <c r="B9" s="1670" t="s">
        <v>2978</v>
      </c>
      <c r="C9" s="1671"/>
      <c r="D9" s="3276"/>
      <c r="E9" s="1670"/>
      <c r="F9" s="1741"/>
      <c r="G9" s="1736"/>
      <c r="H9" s="1736"/>
      <c r="I9" s="1737"/>
      <c r="J9" s="1688"/>
      <c r="K9" s="1768"/>
      <c r="L9" s="1717"/>
      <c r="M9" s="1717"/>
      <c r="N9" s="1688"/>
      <c r="O9" s="1689"/>
      <c r="P9" s="1688"/>
      <c r="Q9" s="1688"/>
      <c r="R9" s="1688"/>
      <c r="S9" s="1688"/>
      <c r="T9" s="1688"/>
      <c r="U9" s="1688"/>
    </row>
    <row r="10" spans="1:21" ht="15" thickTop="1">
      <c r="A10" s="1738" t="s">
        <v>2000</v>
      </c>
      <c r="B10" s="1713" t="s">
        <v>2979</v>
      </c>
      <c r="C10" s="1672" t="s">
        <v>2980</v>
      </c>
      <c r="D10" s="1663"/>
      <c r="E10" s="1673" t="s">
        <v>1949</v>
      </c>
      <c r="F10" s="3213" t="s">
        <v>3286</v>
      </c>
      <c r="G10" s="1739"/>
      <c r="H10" s="1740"/>
      <c r="I10" s="1663"/>
      <c r="J10" s="1688"/>
      <c r="K10" s="1768"/>
      <c r="L10" s="1717"/>
      <c r="M10" s="1717"/>
      <c r="N10" s="1688"/>
      <c r="O10" s="1689"/>
      <c r="P10" s="1688"/>
      <c r="Q10" s="1688"/>
      <c r="R10" s="1688"/>
      <c r="S10" s="1688"/>
      <c r="T10" s="1688"/>
      <c r="U10" s="1688"/>
    </row>
    <row r="11" spans="1:21">
      <c r="A11" s="1691" t="s">
        <v>2001</v>
      </c>
      <c r="B11" s="1692" t="s">
        <v>2981</v>
      </c>
      <c r="C11" s="1783" t="s">
        <v>2975</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72" t="s">
        <v>3256</v>
      </c>
      <c r="C12" s="3273"/>
      <c r="D12" s="3274"/>
      <c r="E12" s="1693" t="s">
        <v>2062</v>
      </c>
      <c r="F12" s="3293" t="s">
        <v>3257</v>
      </c>
      <c r="G12" s="3294"/>
      <c r="H12" s="3294"/>
      <c r="I12" s="3295"/>
      <c r="J12" s="1688"/>
      <c r="K12" s="1768"/>
      <c r="L12" s="1717"/>
      <c r="M12" s="1717"/>
      <c r="N12" s="1688"/>
      <c r="O12" s="1689"/>
      <c r="P12" s="1688"/>
      <c r="Q12" s="1688"/>
      <c r="R12" s="1688"/>
      <c r="S12" s="1688"/>
      <c r="T12" s="1688"/>
      <c r="U12" s="1688"/>
    </row>
    <row r="13" spans="1:21">
      <c r="A13" s="1681" t="s">
        <v>2060</v>
      </c>
      <c r="B13" s="3272" t="s">
        <v>2982</v>
      </c>
      <c r="C13" s="3273"/>
      <c r="D13" s="3274"/>
      <c r="E13" s="1693" t="s">
        <v>2062</v>
      </c>
      <c r="F13" s="3293"/>
      <c r="G13" s="3294"/>
      <c r="H13" s="3294"/>
      <c r="I13" s="3295"/>
      <c r="J13" s="1688"/>
      <c r="K13" s="1768"/>
      <c r="L13" s="1717"/>
      <c r="M13" s="1717"/>
      <c r="N13" s="1688"/>
      <c r="O13" s="1689"/>
      <c r="P13" s="1688"/>
      <c r="Q13" s="1688"/>
      <c r="R13" s="1688"/>
      <c r="S13" s="1688"/>
      <c r="T13" s="1688"/>
      <c r="U13" s="1688"/>
    </row>
    <row r="14" spans="1:21">
      <c r="A14" s="1657" t="s">
        <v>2063</v>
      </c>
      <c r="B14" s="1693"/>
      <c r="C14" s="1839" t="s">
        <v>2983</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5.5" customHeight="1">
      <c r="A16" s="1674" t="s">
        <v>1950</v>
      </c>
      <c r="B16" s="1675" t="s">
        <v>2984</v>
      </c>
      <c r="C16" s="1693" t="s">
        <v>1951</v>
      </c>
      <c r="D16" s="2641" t="s">
        <v>1952</v>
      </c>
      <c r="E16" s="1716" t="s">
        <v>2985</v>
      </c>
      <c r="F16" s="1716"/>
      <c r="G16" s="1716" t="s">
        <v>35</v>
      </c>
      <c r="H16" s="1716"/>
      <c r="I16" s="1680" t="s">
        <v>1957</v>
      </c>
      <c r="J16" s="1688"/>
      <c r="K16" s="2451" t="str">
        <f>IF(D17="","",D16&amp;TEXT(D17,"yyyy年m月d日;;"))</f>
        <v>住宅2088年1月18日</v>
      </c>
      <c r="L16" s="1693" t="str">
        <f>IF(OR(K16="",M16=""),"","、")</f>
        <v>、</v>
      </c>
      <c r="M16" s="2451" t="str">
        <f>IF(E17="","",E16&amp;TEXT(E17,"yyyy年m月d日;;"))</f>
        <v>地上商业2058年1月18日</v>
      </c>
      <c r="N16" s="1693" t="str">
        <f>IF(OR(M16="",O16=""),"","、")</f>
        <v/>
      </c>
      <c r="O16" s="2451" t="str">
        <f>IF(F17="","",F16&amp;TEXT(F17,"yyyy年m月d日;;"))</f>
        <v/>
      </c>
      <c r="P16" s="1693" t="str">
        <f>IF(OR(O16="",Q16=""),"","、")</f>
        <v/>
      </c>
      <c r="Q16" s="2451" t="str">
        <f>IF(G17="","",G16&amp;TEXT(G17,"yyyy年m月d日;;"))</f>
        <v>地下车库2068年1月18日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68685</v>
      </c>
      <c r="E17" s="1694">
        <v>57728</v>
      </c>
      <c r="F17" s="1694"/>
      <c r="G17" s="1694">
        <v>61380</v>
      </c>
      <c r="H17" s="1694"/>
      <c r="I17" s="1694"/>
      <c r="J17" s="1688"/>
      <c r="K17" s="2450" t="str">
        <f>CONCATENATE(K16,L16,M16,N16,O16,P16,Q16,R16,S16,T16,,U16)</f>
        <v>住宅2088年1月18日、地上商业2058年1月18日地下车库2068年1月18日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69.47</v>
      </c>
      <c r="E19" s="1679">
        <f>IF(B16="出让",IF(E17="","",ROUNDDOWN(MIN((E17-$D$3)/365,E18),2)),E18)</f>
        <v>39.450000000000003</v>
      </c>
      <c r="F19" s="1679" t="str">
        <f>IF(B16="出让",IF(F17="","",ROUNDDOWN(MIN((F17-$D$3)/365,F18),2)),F18)</f>
        <v/>
      </c>
      <c r="G19" s="1679">
        <f>IF(B16="出让",IF(G17="","",ROUNDDOWN(MIN((G17-$D$3)/365,G18),2)),G18)</f>
        <v>49.45</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90" t="s">
        <v>2986</v>
      </c>
      <c r="E20" s="3291"/>
      <c r="F20" s="3291"/>
      <c r="G20" s="3291"/>
      <c r="H20" s="3291"/>
      <c r="I20" s="3292"/>
      <c r="J20" s="1688"/>
      <c r="K20" s="1768"/>
      <c r="L20" s="1717"/>
      <c r="M20" s="1717"/>
      <c r="N20" s="1688"/>
      <c r="O20" s="1689"/>
      <c r="P20" s="1688"/>
      <c r="Q20" s="1688"/>
      <c r="R20" s="1688"/>
      <c r="S20" s="1688"/>
      <c r="T20" s="1688"/>
      <c r="U20" s="1688"/>
    </row>
    <row r="21" spans="1:21">
      <c r="A21" s="1757" t="s">
        <v>1961</v>
      </c>
      <c r="B21" s="1758" t="s">
        <v>1962</v>
      </c>
      <c r="C21" s="1753">
        <f>'数据-汇总表'!E3</f>
        <v>57683.92</v>
      </c>
      <c r="D21" s="1754" t="s">
        <v>1963</v>
      </c>
      <c r="E21" s="3277"/>
      <c r="F21" s="3278"/>
      <c r="G21" s="3278"/>
      <c r="H21" s="3278"/>
      <c r="I21" s="3279"/>
      <c r="J21" s="1688"/>
      <c r="K21" s="1768"/>
      <c r="L21" s="1717"/>
      <c r="M21" s="1717"/>
      <c r="N21" s="1688"/>
      <c r="O21" s="1689"/>
      <c r="P21" s="1688"/>
      <c r="Q21" s="1688"/>
      <c r="R21" s="1688"/>
      <c r="S21" s="1688"/>
      <c r="T21" s="1688"/>
      <c r="U21" s="1688"/>
    </row>
    <row r="22" spans="1:21">
      <c r="A22" s="3140" t="s">
        <v>952</v>
      </c>
      <c r="B22" s="1657" t="s">
        <v>1964</v>
      </c>
      <c r="C22" s="1680">
        <f>'数据-汇总表'!D3</f>
        <v>17908.099999999999</v>
      </c>
      <c r="D22" s="1681" t="s">
        <v>1963</v>
      </c>
      <c r="E22" s="3280" t="s">
        <v>3257</v>
      </c>
      <c r="F22" s="3281"/>
      <c r="G22" s="3281"/>
      <c r="H22" s="3281"/>
      <c r="I22" s="3282"/>
      <c r="J22" s="1688"/>
      <c r="K22" s="1768"/>
      <c r="L22" s="1717"/>
      <c r="M22" s="1717"/>
      <c r="N22" s="1688"/>
      <c r="O22" s="1689"/>
      <c r="P22" s="1688"/>
      <c r="Q22" s="1688"/>
      <c r="R22" s="1688"/>
      <c r="S22" s="1688"/>
      <c r="T22" s="1688"/>
      <c r="U22" s="1688"/>
    </row>
    <row r="23" spans="1:21" ht="27" customHeight="1"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83" t="s">
        <v>1969</v>
      </c>
      <c r="C24" s="3284"/>
      <c r="D24" s="3285" t="s">
        <v>1970</v>
      </c>
      <c r="E24" s="3286"/>
      <c r="F24" s="1702" t="s">
        <v>1971</v>
      </c>
      <c r="G24" s="1688"/>
      <c r="H24" s="1688"/>
      <c r="I24" s="1701"/>
      <c r="J24" s="1688"/>
      <c r="K24" s="3268"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28.5">
      <c r="A25" s="1745"/>
      <c r="B25" s="1742" t="s">
        <v>2326</v>
      </c>
      <c r="C25" s="1703" t="s">
        <v>1973</v>
      </c>
      <c r="D25" s="1704"/>
      <c r="E25" s="1705" t="s">
        <v>952</v>
      </c>
      <c r="F25" s="1706"/>
      <c r="G25" s="1688"/>
      <c r="H25" s="1688"/>
      <c r="I25" s="1701"/>
      <c r="J25" s="1688"/>
      <c r="K25" s="3268"/>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7"/>
      <c r="N25" s="1688"/>
      <c r="O25" s="1689"/>
      <c r="P25" s="1688"/>
      <c r="Q25" s="1688"/>
      <c r="R25" s="1688"/>
      <c r="S25" s="1688"/>
      <c r="T25" s="1688"/>
      <c r="U25" s="1688"/>
    </row>
    <row r="26" spans="1:21" ht="15" thickBot="1">
      <c r="A26" s="1746"/>
      <c r="B26" s="1743" t="s">
        <v>952</v>
      </c>
      <c r="C26" s="1703"/>
      <c r="D26" s="1656"/>
      <c r="E26" s="1656"/>
      <c r="F26" s="1682"/>
      <c r="G26" s="1688"/>
      <c r="H26" s="1688"/>
      <c r="I26" s="1701"/>
      <c r="J26" s="1688"/>
      <c r="K26" s="3268"/>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c r="D27" s="2646" t="s">
        <v>1975</v>
      </c>
      <c r="E27" s="1708"/>
      <c r="F27" s="1682"/>
      <c r="G27" s="1688"/>
      <c r="H27" s="1688"/>
      <c r="I27" s="1701"/>
      <c r="J27" s="1688"/>
      <c r="K27" s="1768"/>
      <c r="L27" s="1717"/>
      <c r="M27" s="1717"/>
      <c r="N27" s="1688"/>
      <c r="O27" s="1689"/>
      <c r="P27" s="1688"/>
      <c r="Q27" s="1688"/>
      <c r="R27" s="1688"/>
      <c r="S27" s="1688"/>
      <c r="T27" s="1688"/>
      <c r="U27" s="1688"/>
    </row>
    <row r="28" spans="1:21">
      <c r="A28" s="1750"/>
      <c r="B28" s="1747" t="s">
        <v>1976</v>
      </c>
      <c r="C28" s="1709"/>
      <c r="D28" s="2647" t="s">
        <v>1976</v>
      </c>
      <c r="E28" s="1710"/>
      <c r="F28" s="1682"/>
      <c r="G28" s="1688"/>
      <c r="H28" s="1688"/>
      <c r="I28" s="1701"/>
      <c r="J28" s="1688"/>
      <c r="K28" s="1768"/>
      <c r="L28" s="1717"/>
      <c r="M28" s="1717"/>
      <c r="N28" s="1688"/>
      <c r="O28" s="1689"/>
      <c r="P28" s="1688"/>
      <c r="Q28" s="1688"/>
      <c r="R28" s="1688"/>
      <c r="S28" s="1688"/>
      <c r="T28" s="1688"/>
      <c r="U28" s="1688"/>
    </row>
    <row r="29" spans="1:21">
      <c r="A29" s="1750"/>
      <c r="B29" s="1747" t="s">
        <v>1977</v>
      </c>
      <c r="C29" s="1709"/>
      <c r="D29" s="2647" t="s">
        <v>1977</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1978</v>
      </c>
      <c r="C30" s="1711"/>
      <c r="D30" s="2648" t="s">
        <v>1978</v>
      </c>
      <c r="E30" s="1712"/>
      <c r="F30" s="1683"/>
      <c r="G30" s="1736"/>
      <c r="H30" s="1736"/>
      <c r="I30" s="1737"/>
      <c r="J30" s="1688"/>
      <c r="K30" s="1768"/>
      <c r="L30" s="1717"/>
      <c r="M30" s="1717"/>
      <c r="N30" s="1688"/>
      <c r="O30" s="1689"/>
      <c r="P30" s="1688"/>
      <c r="Q30" s="1688"/>
      <c r="R30" s="1688"/>
      <c r="S30" s="1688"/>
      <c r="T30" s="1688"/>
      <c r="U30" s="1688"/>
    </row>
    <row r="31" spans="1:21" ht="15" thickTop="1">
      <c r="A31" s="3254" t="s">
        <v>2002</v>
      </c>
      <c r="B31" s="1758" t="s">
        <v>2003</v>
      </c>
      <c r="C31" s="3296" t="s">
        <v>2988</v>
      </c>
      <c r="D31" s="3297"/>
      <c r="E31" s="1688"/>
      <c r="F31" s="1688"/>
      <c r="G31" s="1688"/>
      <c r="H31" s="1688"/>
      <c r="I31" s="1701"/>
      <c r="J31" s="1688"/>
      <c r="K31" s="2453"/>
      <c r="L31" s="1688"/>
      <c r="M31" s="1688"/>
      <c r="N31" s="1688"/>
      <c r="O31" s="1688"/>
      <c r="P31" s="1688"/>
      <c r="Q31" s="1688"/>
      <c r="R31" s="1688"/>
      <c r="S31" s="1688"/>
      <c r="T31" s="1688"/>
      <c r="U31" s="1688"/>
    </row>
    <row r="32" spans="1:21">
      <c r="A32" s="3254"/>
      <c r="B32" s="1657" t="s">
        <v>2004</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254"/>
      <c r="B33" s="1657" t="s">
        <v>2005</v>
      </c>
      <c r="C33" s="1715" t="s">
        <v>3258</v>
      </c>
      <c r="D33" s="1832"/>
      <c r="E33" s="1688"/>
      <c r="F33" s="1688"/>
      <c r="G33" s="1688"/>
      <c r="H33" s="1688"/>
      <c r="I33" s="1701"/>
      <c r="J33" s="1688"/>
      <c r="K33" s="2453"/>
      <c r="L33" s="1688"/>
      <c r="M33" s="1688"/>
      <c r="N33" s="1688"/>
      <c r="O33" s="1688"/>
      <c r="P33" s="1688"/>
      <c r="Q33" s="1688"/>
      <c r="R33" s="1688"/>
      <c r="S33" s="1688"/>
      <c r="T33" s="1688"/>
      <c r="U33" s="1688"/>
    </row>
    <row r="34" spans="1:21">
      <c r="A34" s="3255"/>
      <c r="B34" s="1657" t="s">
        <v>2006</v>
      </c>
      <c r="C34" s="3256" t="s">
        <v>3260</v>
      </c>
      <c r="D34" s="3257"/>
      <c r="E34" s="1688"/>
      <c r="F34" s="1688"/>
      <c r="G34" s="1688"/>
      <c r="H34" s="1688"/>
      <c r="I34" s="1701"/>
      <c r="J34" s="1688"/>
      <c r="K34" s="2453"/>
      <c r="L34" s="1688"/>
      <c r="M34" s="1688"/>
      <c r="N34" s="1688"/>
      <c r="O34" s="1688"/>
      <c r="P34" s="1688"/>
      <c r="Q34" s="1688"/>
      <c r="R34" s="1688"/>
      <c r="S34" s="1688"/>
      <c r="T34" s="1688"/>
      <c r="U34" s="1688"/>
    </row>
    <row r="35" spans="1:21">
      <c r="A35" s="3258" t="s">
        <v>847</v>
      </c>
      <c r="B35" s="1716" t="s">
        <v>3259</v>
      </c>
      <c r="C35" s="1770" t="str">
        <f>IF(B35="场地平整","——","具体情况：")</f>
        <v>——</v>
      </c>
      <c r="D35" s="3260"/>
      <c r="E35" s="3261"/>
      <c r="F35" s="3261"/>
      <c r="G35" s="3261"/>
      <c r="H35" s="3261"/>
      <c r="I35" s="3262"/>
      <c r="J35" s="1688"/>
      <c r="K35" s="1769"/>
      <c r="L35" s="1717"/>
      <c r="M35" s="1717"/>
      <c r="N35" s="1688"/>
      <c r="O35" s="1689"/>
      <c r="P35" s="1688"/>
      <c r="Q35" s="1688"/>
      <c r="R35" s="1688"/>
      <c r="S35" s="1688"/>
      <c r="T35" s="1688"/>
      <c r="U35" s="1688"/>
    </row>
    <row r="36" spans="1:21">
      <c r="A36" s="3254"/>
      <c r="B36" s="3263" t="s">
        <v>2055</v>
      </c>
      <c r="C36" s="3264"/>
      <c r="D36" s="1786" t="s">
        <v>3261</v>
      </c>
      <c r="E36" s="3265"/>
      <c r="F36" s="3265"/>
      <c r="G36" s="1681" t="str">
        <f>IF(B35="场地未平整","估价结果处理","")</f>
        <v/>
      </c>
      <c r="H36" s="3266"/>
      <c r="I36" s="3266"/>
      <c r="J36" s="1688"/>
      <c r="K36" s="1769"/>
      <c r="L36" s="1717"/>
      <c r="M36" s="1717"/>
      <c r="N36" s="1688"/>
      <c r="O36" s="1689"/>
      <c r="P36" s="1688"/>
      <c r="Q36" s="1688"/>
      <c r="R36" s="1688"/>
      <c r="S36" s="1688"/>
      <c r="T36" s="1688"/>
      <c r="U36" s="1688"/>
    </row>
    <row r="37" spans="1:21" ht="28.5">
      <c r="A37" s="3254"/>
      <c r="B37" s="328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54"/>
      <c r="B38" s="3288"/>
      <c r="C38" s="1665"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255"/>
      <c r="B39" s="328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3262</v>
      </c>
      <c r="C40" s="1684" t="s">
        <v>3263</v>
      </c>
      <c r="D40" s="1684" t="s">
        <v>3264</v>
      </c>
      <c r="E40" s="1684" t="s">
        <v>3265</v>
      </c>
      <c r="F40" s="1684" t="s">
        <v>3266</v>
      </c>
      <c r="G40" s="1684" t="s">
        <v>952</v>
      </c>
      <c r="H40" s="1684" t="s">
        <v>952</v>
      </c>
      <c r="I40" s="1701"/>
      <c r="J40" s="1688"/>
      <c r="K40" s="1724">
        <f>COUNTIF(B40:H40,"——")</f>
        <v>2</v>
      </c>
      <c r="L40" s="1693" t="s">
        <v>1980</v>
      </c>
      <c r="M40" s="1690" t="s">
        <v>1981</v>
      </c>
      <c r="N40" s="1690" t="s">
        <v>1982</v>
      </c>
      <c r="O40" s="1690" t="s">
        <v>1983</v>
      </c>
      <c r="P40" s="1690" t="s">
        <v>1984</v>
      </c>
      <c r="Q40" s="1690" t="s">
        <v>1985</v>
      </c>
      <c r="R40" s="1690" t="s">
        <v>1986</v>
      </c>
      <c r="S40" s="3267" t="s">
        <v>1987</v>
      </c>
      <c r="T40" s="1725" t="str">
        <f>NUMBERSTRING(7-K40,1)&amp;"通"</f>
        <v>五通</v>
      </c>
      <c r="U40" s="1688"/>
    </row>
    <row r="41" spans="1:21" ht="28.5">
      <c r="A41" s="1659"/>
      <c r="B41" s="3259" t="s">
        <v>1722</v>
      </c>
      <c r="C41" s="3259"/>
      <c r="D41" s="3259"/>
      <c r="E41" s="3259"/>
      <c r="F41" s="1726" t="str">
        <f>C10</f>
        <v>福建省福州市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v>
      </c>
      <c r="R41" s="1728" t="str">
        <f>B40&amp;"、"&amp;C40&amp;"、"&amp;D40&amp;"、"&amp;E40&amp;"、"&amp;F40&amp;"、"&amp;G40&amp;"、"&amp;H40</f>
        <v>通路、通电、通讯、通上水、通下水、——、——</v>
      </c>
      <c r="S41" s="3267"/>
      <c r="T41" s="1727" t="str">
        <f>IF(T40="一通",L41,IF(T40="二通",M41,IF(T40="三通",N41,IF(T40="四通",O41,IF(T40="五通",P41,IF(T40="六通",Q41,R41))))))</f>
        <v>通路、通电、通讯、通上水、通下水</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2889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N24" sqref="N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31082.14</v>
      </c>
      <c r="B3" s="22">
        <f>IF(C3="否",G5-AT5,G5)</f>
        <v>100118.92</v>
      </c>
      <c r="C3" s="23" t="s">
        <v>2987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100118.92</v>
      </c>
      <c r="H5" s="27">
        <f t="shared" ref="H5:AT5" si="0">SUM(H13:H641)</f>
        <v>98377.919999999998</v>
      </c>
      <c r="I5" s="27">
        <f t="shared" si="0"/>
        <v>24312.92</v>
      </c>
      <c r="J5" s="27">
        <f t="shared" si="0"/>
        <v>0</v>
      </c>
      <c r="K5" s="27">
        <f t="shared" si="0"/>
        <v>3000</v>
      </c>
      <c r="L5" s="27">
        <f t="shared" si="0"/>
        <v>0</v>
      </c>
      <c r="M5" s="27">
        <f t="shared" si="0"/>
        <v>28630</v>
      </c>
      <c r="N5" s="27">
        <f t="shared" si="0"/>
        <v>0</v>
      </c>
      <c r="O5" s="27">
        <f t="shared" si="0"/>
        <v>42435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1741</v>
      </c>
      <c r="AD5" s="27">
        <f t="shared" si="0"/>
        <v>1350</v>
      </c>
      <c r="AE5" s="27">
        <f t="shared" si="0"/>
        <v>0</v>
      </c>
      <c r="AF5" s="27">
        <f t="shared" si="0"/>
        <v>0</v>
      </c>
      <c r="AG5" s="27">
        <f t="shared" si="0"/>
        <v>0</v>
      </c>
      <c r="AH5" s="27">
        <f t="shared" si="0"/>
        <v>286</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57683.92</v>
      </c>
      <c r="BA5" s="29">
        <f t="shared" si="1"/>
        <v>55942.92</v>
      </c>
      <c r="BB5" s="29">
        <f t="shared" si="1"/>
        <v>24312.92</v>
      </c>
      <c r="BC5" s="29">
        <f t="shared" si="1"/>
        <v>3000</v>
      </c>
      <c r="BD5" s="29">
        <f t="shared" si="1"/>
        <v>28630</v>
      </c>
      <c r="BE5" s="29">
        <f t="shared" si="1"/>
        <v>0</v>
      </c>
      <c r="BF5" s="29">
        <f t="shared" si="1"/>
        <v>0</v>
      </c>
      <c r="BG5" s="29">
        <f t="shared" si="1"/>
        <v>0</v>
      </c>
      <c r="BH5" s="29">
        <f t="shared" si="1"/>
        <v>0</v>
      </c>
      <c r="BI5" s="29">
        <f t="shared" si="1"/>
        <v>0</v>
      </c>
      <c r="BJ5" s="29">
        <f t="shared" si="1"/>
        <v>0</v>
      </c>
      <c r="BK5" s="29">
        <f t="shared" si="1"/>
        <v>0</v>
      </c>
      <c r="BL5" s="29">
        <f t="shared" si="1"/>
        <v>1741</v>
      </c>
      <c r="BM5" s="29">
        <f t="shared" si="1"/>
        <v>1350</v>
      </c>
      <c r="BN5" s="29">
        <f t="shared" si="1"/>
        <v>0</v>
      </c>
      <c r="BO5" s="29">
        <f t="shared" si="1"/>
        <v>286</v>
      </c>
      <c r="BP5" s="29">
        <f t="shared" si="1"/>
        <v>0</v>
      </c>
      <c r="BQ5" s="29">
        <f t="shared" si="1"/>
        <v>105</v>
      </c>
      <c r="BR5" s="29">
        <f t="shared" si="1"/>
        <v>0</v>
      </c>
      <c r="BS5" s="29">
        <f t="shared" si="1"/>
        <v>0</v>
      </c>
      <c r="BT5" s="30">
        <f t="shared" si="1"/>
        <v>0</v>
      </c>
    </row>
    <row r="6" spans="1:72" s="37" customFormat="1" ht="12.75">
      <c r="A6" s="26" t="s">
        <v>169</v>
      </c>
      <c r="B6" s="31"/>
      <c r="C6" s="31"/>
      <c r="D6" s="32"/>
      <c r="E6" s="27">
        <f>H6+AC6+AT6</f>
        <v>31082.15</v>
      </c>
      <c r="F6" s="27" t="s">
        <v>1</v>
      </c>
      <c r="G6" s="27" t="s">
        <v>2</v>
      </c>
      <c r="H6" s="33">
        <f>SUMIF(I$12:AB$12,"总值",I6:AB6)</f>
        <v>30541.65</v>
      </c>
      <c r="I6" s="27">
        <f t="shared" ref="I6:AB6" si="2">ROUND($A$3*I5/$B$3,2)</f>
        <v>7548</v>
      </c>
      <c r="J6" s="27">
        <f t="shared" si="2"/>
        <v>0</v>
      </c>
      <c r="K6" s="27">
        <f t="shared" si="2"/>
        <v>931.36</v>
      </c>
      <c r="L6" s="27">
        <f t="shared" si="2"/>
        <v>0</v>
      </c>
      <c r="M6" s="27">
        <f t="shared" si="2"/>
        <v>8888.25</v>
      </c>
      <c r="N6" s="27">
        <f t="shared" si="2"/>
        <v>0</v>
      </c>
      <c r="O6" s="27">
        <f t="shared" si="2"/>
        <v>13174.04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540.5</v>
      </c>
      <c r="AD6" s="27">
        <f t="shared" ref="AD6:AS6" si="3">ROUND($A$3*AD5/$B$3,2)</f>
        <v>419.11</v>
      </c>
      <c r="AE6" s="27">
        <f t="shared" si="3"/>
        <v>0</v>
      </c>
      <c r="AF6" s="27">
        <f t="shared" si="3"/>
        <v>0</v>
      </c>
      <c r="AG6" s="27">
        <f t="shared" si="3"/>
        <v>0</v>
      </c>
      <c r="AH6" s="27">
        <f t="shared" si="3"/>
        <v>88.79</v>
      </c>
      <c r="AI6" s="27">
        <f t="shared" si="3"/>
        <v>0</v>
      </c>
      <c r="AJ6" s="27">
        <f t="shared" si="3"/>
        <v>0</v>
      </c>
      <c r="AK6" s="27">
        <f t="shared" si="3"/>
        <v>0</v>
      </c>
      <c r="AL6" s="27">
        <f t="shared" si="3"/>
        <v>32.6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17908.099999999999</v>
      </c>
      <c r="AZ6" s="27" t="s">
        <v>3</v>
      </c>
      <c r="BA6" s="27">
        <f>ROUND($AY$6*BA5/$AZ$5,2)</f>
        <v>17367.599999999999</v>
      </c>
      <c r="BB6" s="27">
        <f>ROUND($AY$6*BB5/$AZ$5,2)</f>
        <v>7548</v>
      </c>
      <c r="BC6" s="27">
        <f t="shared" ref="BC6:BH6" si="4">ROUND($AY$6*BC5/$AZ$5,2)</f>
        <v>931.36</v>
      </c>
      <c r="BD6" s="27">
        <f t="shared" si="4"/>
        <v>8888.25</v>
      </c>
      <c r="BE6" s="27">
        <f t="shared" si="4"/>
        <v>0</v>
      </c>
      <c r="BF6" s="27">
        <f t="shared" si="4"/>
        <v>0</v>
      </c>
      <c r="BG6" s="27">
        <f t="shared" si="4"/>
        <v>0</v>
      </c>
      <c r="BH6" s="27">
        <f t="shared" si="4"/>
        <v>0</v>
      </c>
      <c r="BI6" s="27">
        <f t="shared" ref="BI6:BT6" si="5">ROUND($AY$6*BI5/$AZ$5,2)</f>
        <v>0</v>
      </c>
      <c r="BJ6" s="27">
        <f t="shared" si="5"/>
        <v>0</v>
      </c>
      <c r="BK6" s="27">
        <f t="shared" si="5"/>
        <v>0</v>
      </c>
      <c r="BL6" s="27">
        <f t="shared" si="5"/>
        <v>540.5</v>
      </c>
      <c r="BM6" s="27">
        <f t="shared" si="5"/>
        <v>419.11</v>
      </c>
      <c r="BN6" s="27">
        <f t="shared" si="5"/>
        <v>0</v>
      </c>
      <c r="BO6" s="27">
        <f t="shared" si="5"/>
        <v>88.79</v>
      </c>
      <c r="BP6" s="27">
        <f t="shared" si="5"/>
        <v>0</v>
      </c>
      <c r="BQ6" s="27">
        <f t="shared" si="5"/>
        <v>32.6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3" t="s">
        <v>2989</v>
      </c>
      <c r="J9" s="51"/>
      <c r="K9" s="3013" t="s">
        <v>2989</v>
      </c>
      <c r="L9" s="51"/>
      <c r="M9" s="3013" t="s">
        <v>2991</v>
      </c>
      <c r="N9" s="51"/>
      <c r="O9" s="59" t="s">
        <v>2989</v>
      </c>
      <c r="P9" s="51"/>
      <c r="Q9" s="59" t="s">
        <v>2989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3" t="s">
        <v>923</v>
      </c>
      <c r="J10" s="51"/>
      <c r="K10" s="3015" t="s">
        <v>2990</v>
      </c>
      <c r="L10" s="51"/>
      <c r="M10" s="3015" t="s">
        <v>2992</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4" t="s">
        <v>3048</v>
      </c>
      <c r="J11" s="71"/>
      <c r="K11" s="3014" t="s">
        <v>3270</v>
      </c>
      <c r="L11" s="71"/>
      <c r="M11" s="70" t="s">
        <v>2992</v>
      </c>
      <c r="N11" s="71"/>
      <c r="O11" s="70" t="s">
        <v>3272</v>
      </c>
      <c r="P11" s="71"/>
      <c r="Q11" s="70" t="s">
        <v>3324</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车库</v>
      </c>
      <c r="BE12" s="50" t="str">
        <f>O11</f>
        <v>定向安置房</v>
      </c>
      <c r="BF12" s="50" t="str">
        <f>Q11</f>
        <v>叠拼</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09"/>
      <c r="B13" s="3009"/>
      <c r="C13" s="3009" t="s">
        <v>3267</v>
      </c>
      <c r="D13" s="3010" t="s">
        <v>1679</v>
      </c>
      <c r="E13" s="27">
        <f t="shared" ref="E13:E20" si="6">IF($C$3="是",ROUND($A$3*G13/$B$3,2),ROUND($A$3*(G13-AT13)/$B$3,2))</f>
        <v>8088.5</v>
      </c>
      <c r="F13" s="81"/>
      <c r="G13" s="82">
        <f t="shared" ref="G13:G20" si="7">H13+AC13+AT13</f>
        <v>26053.919999999998</v>
      </c>
      <c r="H13" s="33">
        <f t="shared" ref="H13:H20" si="8">SUMIF(I$12:AB$12,"总值",I13:AB13)</f>
        <v>24312.92</v>
      </c>
      <c r="I13" s="3012">
        <f>ROUND(A3*2.3-K14-O16-AD13-AH13-AL13-Q17,2)</f>
        <v>24312.92</v>
      </c>
      <c r="J13" s="3012"/>
      <c r="K13" s="3012"/>
      <c r="L13" s="3012"/>
      <c r="M13" s="3012"/>
      <c r="N13" s="83"/>
      <c r="O13" s="83"/>
      <c r="P13" s="83"/>
      <c r="Q13" s="83"/>
      <c r="R13" s="83"/>
      <c r="S13" s="83"/>
      <c r="T13" s="83"/>
      <c r="U13" s="83"/>
      <c r="V13" s="83"/>
      <c r="W13" s="83"/>
      <c r="X13" s="83"/>
      <c r="Y13" s="83"/>
      <c r="Z13" s="83"/>
      <c r="AA13" s="83"/>
      <c r="AB13" s="83"/>
      <c r="AC13" s="27">
        <f t="shared" ref="AC13:AC20" si="9">SUMIF(AD$12:AS$12,"总值",AD13:AS13)</f>
        <v>1741</v>
      </c>
      <c r="AD13" s="3016">
        <f>1200+150</f>
        <v>1350</v>
      </c>
      <c r="AE13" s="3016"/>
      <c r="AF13" s="3016"/>
      <c r="AG13" s="3016"/>
      <c r="AH13" s="3016">
        <v>286</v>
      </c>
      <c r="AI13" s="3016"/>
      <c r="AJ13" s="3016"/>
      <c r="AK13" s="3016"/>
      <c r="AL13" s="3016">
        <f>60+45</f>
        <v>105</v>
      </c>
      <c r="AM13" s="3016"/>
      <c r="AN13" s="3016"/>
      <c r="AO13" s="3016"/>
      <c r="AP13" s="3016"/>
      <c r="AQ13" s="3016"/>
      <c r="AR13" s="3016"/>
      <c r="AS13" s="3016"/>
      <c r="AT13" s="3017"/>
      <c r="AU13" s="3018"/>
      <c r="AV13" s="17">
        <f t="shared" ref="AV13:AX20" si="10">A13</f>
        <v>0</v>
      </c>
      <c r="AW13" s="17">
        <f t="shared" si="10"/>
        <v>0</v>
      </c>
      <c r="AX13" s="17" t="str">
        <f t="shared" si="10"/>
        <v>高层住宅</v>
      </c>
      <c r="AY13" s="994">
        <f t="shared" ref="AY13:AY20" si="11">ROUND($AY$6*AZ13/$AZ$5,2)</f>
        <v>8088.5</v>
      </c>
      <c r="AZ13" s="27">
        <f t="shared" ref="AZ13:AZ20" si="12">BA13+BL13</f>
        <v>26053.919999999998</v>
      </c>
      <c r="BA13" s="27">
        <f t="shared" ref="BA13:BA20" si="13">SUM(BB13:BK13)</f>
        <v>24312.92</v>
      </c>
      <c r="BB13" s="27">
        <f t="shared" ref="BB13:BB20" si="14">IF($D13="是",I13-J13,0)</f>
        <v>24312.92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1741</v>
      </c>
      <c r="BM13" s="27">
        <f t="shared" ref="BM13:BM20" si="25">IF($D13="是",AD13-AE13,0)</f>
        <v>1350</v>
      </c>
      <c r="BN13" s="27">
        <f t="shared" ref="BN13:BN20" si="26">IF($D13="是",AF13-AG13,0)</f>
        <v>0</v>
      </c>
      <c r="BO13" s="27">
        <f t="shared" ref="BO13:BO20" si="27">IF($D13="是",AH13-AI13,0)</f>
        <v>286</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3009"/>
      <c r="B14" s="3009"/>
      <c r="C14" s="3011" t="s">
        <v>3268</v>
      </c>
      <c r="D14" s="3010" t="s">
        <v>1679</v>
      </c>
      <c r="E14" s="27">
        <f t="shared" si="6"/>
        <v>931.36</v>
      </c>
      <c r="F14" s="81"/>
      <c r="G14" s="82">
        <f t="shared" si="7"/>
        <v>3000</v>
      </c>
      <c r="H14" s="33">
        <f t="shared" si="8"/>
        <v>3000</v>
      </c>
      <c r="I14" s="3012"/>
      <c r="J14" s="3012"/>
      <c r="K14" s="3012">
        <v>3000</v>
      </c>
      <c r="L14" s="3012"/>
      <c r="M14" s="3012"/>
      <c r="N14" s="83"/>
      <c r="O14" s="83"/>
      <c r="P14" s="83"/>
      <c r="Q14" s="83"/>
      <c r="R14" s="83"/>
      <c r="S14" s="83"/>
      <c r="T14" s="83"/>
      <c r="U14" s="83"/>
      <c r="V14" s="83"/>
      <c r="W14" s="83"/>
      <c r="X14" s="83"/>
      <c r="Y14" s="83"/>
      <c r="Z14" s="83"/>
      <c r="AA14" s="83"/>
      <c r="AB14" s="83"/>
      <c r="AC14" s="27">
        <f t="shared" si="9"/>
        <v>0</v>
      </c>
      <c r="AD14" s="3016"/>
      <c r="AE14" s="3016"/>
      <c r="AF14" s="3016"/>
      <c r="AG14" s="3016"/>
      <c r="AH14" s="3016"/>
      <c r="AI14" s="3016"/>
      <c r="AJ14" s="3016"/>
      <c r="AK14" s="3016"/>
      <c r="AL14" s="3016"/>
      <c r="AM14" s="3016"/>
      <c r="AN14" s="3016"/>
      <c r="AO14" s="3016"/>
      <c r="AP14" s="3016"/>
      <c r="AQ14" s="3016"/>
      <c r="AR14" s="3016"/>
      <c r="AS14" s="3016"/>
      <c r="AT14" s="3017"/>
      <c r="AU14" s="3018"/>
      <c r="AV14" s="17">
        <f t="shared" si="10"/>
        <v>0</v>
      </c>
      <c r="AW14" s="17">
        <f t="shared" si="10"/>
        <v>0</v>
      </c>
      <c r="AX14" s="17" t="str">
        <f t="shared" si="10"/>
        <v>商业</v>
      </c>
      <c r="AY14" s="994">
        <f t="shared" si="11"/>
        <v>931.36</v>
      </c>
      <c r="AZ14" s="27">
        <f t="shared" si="12"/>
        <v>3000</v>
      </c>
      <c r="BA14" s="27">
        <f t="shared" si="13"/>
        <v>3000</v>
      </c>
      <c r="BB14" s="27">
        <f t="shared" si="14"/>
        <v>0</v>
      </c>
      <c r="BC14" s="27">
        <f t="shared" si="15"/>
        <v>3000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t="s">
        <v>3269</v>
      </c>
      <c r="D15" s="3010" t="s">
        <v>1679</v>
      </c>
      <c r="E15" s="27">
        <f t="shared" si="6"/>
        <v>8888.25</v>
      </c>
      <c r="F15" s="81"/>
      <c r="G15" s="82">
        <f t="shared" si="7"/>
        <v>28630</v>
      </c>
      <c r="H15" s="33">
        <f t="shared" si="8"/>
        <v>28630</v>
      </c>
      <c r="I15" s="3012"/>
      <c r="J15" s="3012"/>
      <c r="K15" s="3012"/>
      <c r="L15" s="3012"/>
      <c r="M15" s="3012">
        <v>28630</v>
      </c>
      <c r="N15" s="83"/>
      <c r="O15" s="83"/>
      <c r="P15" s="83"/>
      <c r="Q15" s="83"/>
      <c r="R15" s="83"/>
      <c r="S15" s="83"/>
      <c r="T15" s="83"/>
      <c r="U15" s="83"/>
      <c r="V15" s="83"/>
      <c r="W15" s="83"/>
      <c r="X15" s="83"/>
      <c r="Y15" s="83"/>
      <c r="Z15" s="83"/>
      <c r="AA15" s="83"/>
      <c r="AB15" s="83"/>
      <c r="AC15" s="27">
        <f t="shared" si="9"/>
        <v>0</v>
      </c>
      <c r="AD15" s="3016"/>
      <c r="AE15" s="3016"/>
      <c r="AF15" s="3016"/>
      <c r="AG15" s="3016"/>
      <c r="AH15" s="3016"/>
      <c r="AI15" s="3016"/>
      <c r="AJ15" s="3016"/>
      <c r="AK15" s="3016"/>
      <c r="AL15" s="3016"/>
      <c r="AM15" s="3016"/>
      <c r="AN15" s="3016"/>
      <c r="AO15" s="3016"/>
      <c r="AP15" s="3016"/>
      <c r="AQ15" s="3016"/>
      <c r="AR15" s="3016"/>
      <c r="AS15" s="3016"/>
      <c r="AT15" s="3017"/>
      <c r="AU15" s="3018"/>
      <c r="AV15" s="17">
        <f t="shared" si="10"/>
        <v>0</v>
      </c>
      <c r="AW15" s="17">
        <f t="shared" si="10"/>
        <v>0</v>
      </c>
      <c r="AX15" s="17" t="str">
        <f t="shared" si="10"/>
        <v>地下车库</v>
      </c>
      <c r="AY15" s="994">
        <f t="shared" si="11"/>
        <v>8888.25</v>
      </c>
      <c r="AZ15" s="27">
        <f t="shared" si="12"/>
        <v>28630</v>
      </c>
      <c r="BA15" s="27">
        <f t="shared" si="13"/>
        <v>28630</v>
      </c>
      <c r="BB15" s="27">
        <f t="shared" si="14"/>
        <v>0</v>
      </c>
      <c r="BC15" s="27">
        <f t="shared" si="15"/>
        <v>0</v>
      </c>
      <c r="BD15" s="27">
        <f t="shared" si="16"/>
        <v>28630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t="s">
        <v>3271</v>
      </c>
      <c r="D16" s="3010" t="s">
        <v>2987</v>
      </c>
      <c r="E16" s="27">
        <f t="shared" si="6"/>
        <v>13174.04</v>
      </c>
      <c r="F16" s="81"/>
      <c r="G16" s="82">
        <f t="shared" si="7"/>
        <v>42435</v>
      </c>
      <c r="H16" s="33">
        <f t="shared" si="8"/>
        <v>42435</v>
      </c>
      <c r="I16" s="3012"/>
      <c r="J16" s="3012"/>
      <c r="K16" s="3012"/>
      <c r="L16" s="3012"/>
      <c r="M16" s="3012"/>
      <c r="N16" s="83"/>
      <c r="O16" s="3214">
        <v>42435</v>
      </c>
      <c r="P16" s="83"/>
      <c r="Q16" s="83"/>
      <c r="R16" s="83"/>
      <c r="S16" s="83"/>
      <c r="T16" s="83"/>
      <c r="U16" s="83"/>
      <c r="V16" s="83"/>
      <c r="W16" s="83"/>
      <c r="X16" s="83"/>
      <c r="Y16" s="83"/>
      <c r="Z16" s="83"/>
      <c r="AA16" s="83"/>
      <c r="AB16" s="83"/>
      <c r="AC16" s="27">
        <f t="shared" si="9"/>
        <v>0</v>
      </c>
      <c r="AD16" s="3016"/>
      <c r="AE16" s="3016"/>
      <c r="AF16" s="3016"/>
      <c r="AG16" s="3016"/>
      <c r="AH16" s="3016"/>
      <c r="AI16" s="3016"/>
      <c r="AJ16" s="3016"/>
      <c r="AK16" s="3016"/>
      <c r="AL16" s="3016"/>
      <c r="AM16" s="3016"/>
      <c r="AN16" s="3016"/>
      <c r="AO16" s="3016"/>
      <c r="AP16" s="3016"/>
      <c r="AQ16" s="3016"/>
      <c r="AR16" s="3016"/>
      <c r="AS16" s="3016"/>
      <c r="AT16" s="3017"/>
      <c r="AU16" s="3018"/>
      <c r="AV16" s="17">
        <f t="shared" si="10"/>
        <v>0</v>
      </c>
      <c r="AW16" s="17">
        <f t="shared" si="10"/>
        <v>0</v>
      </c>
      <c r="AX16" s="17" t="str">
        <f t="shared" si="10"/>
        <v>保障房</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t="s">
        <v>3323</v>
      </c>
      <c r="D17" s="3010" t="s">
        <v>1679</v>
      </c>
      <c r="E17" s="27">
        <f t="shared" si="6"/>
        <v>0</v>
      </c>
      <c r="F17" s="81"/>
      <c r="G17" s="82">
        <f t="shared" si="7"/>
        <v>0</v>
      </c>
      <c r="H17" s="33">
        <f t="shared" si="8"/>
        <v>0</v>
      </c>
      <c r="I17" s="3012"/>
      <c r="J17" s="3012"/>
      <c r="K17" s="3012"/>
      <c r="L17" s="3012"/>
      <c r="M17" s="3012"/>
      <c r="N17" s="83"/>
      <c r="O17" s="83"/>
      <c r="P17" s="83"/>
      <c r="Q17" s="83">
        <v>0</v>
      </c>
      <c r="R17" s="83"/>
      <c r="S17" s="83"/>
      <c r="T17" s="83"/>
      <c r="U17" s="83"/>
      <c r="V17" s="83"/>
      <c r="W17" s="83"/>
      <c r="X17" s="83"/>
      <c r="Y17" s="83"/>
      <c r="Z17" s="83"/>
      <c r="AA17" s="83"/>
      <c r="AB17" s="83"/>
      <c r="AC17" s="27">
        <f t="shared" si="9"/>
        <v>0</v>
      </c>
      <c r="AD17" s="3016"/>
      <c r="AE17" s="3016"/>
      <c r="AF17" s="3016"/>
      <c r="AG17" s="3016"/>
      <c r="AH17" s="3016"/>
      <c r="AI17" s="3016"/>
      <c r="AJ17" s="3016"/>
      <c r="AK17" s="3016"/>
      <c r="AL17" s="3016"/>
      <c r="AM17" s="3016"/>
      <c r="AN17" s="3016"/>
      <c r="AO17" s="3016"/>
      <c r="AP17" s="3016"/>
      <c r="AQ17" s="3016"/>
      <c r="AR17" s="3016"/>
      <c r="AS17" s="3016"/>
      <c r="AT17" s="3017"/>
      <c r="AU17" s="3018"/>
      <c r="AV17" s="17">
        <f t="shared" si="10"/>
        <v>0</v>
      </c>
      <c r="AW17" s="17">
        <f t="shared" si="10"/>
        <v>0</v>
      </c>
      <c r="AX17" s="17" t="str">
        <f t="shared" si="10"/>
        <v>别墅</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93"/>
      <c r="C18" s="3193"/>
      <c r="D18" s="3194"/>
      <c r="E18" s="27">
        <f t="shared" si="6"/>
        <v>0</v>
      </c>
      <c r="F18" s="81"/>
      <c r="G18" s="82">
        <f t="shared" si="7"/>
        <v>0</v>
      </c>
      <c r="H18" s="33">
        <f t="shared" si="8"/>
        <v>0</v>
      </c>
      <c r="I18" s="3195"/>
      <c r="J18" s="83"/>
      <c r="K18" s="3195"/>
      <c r="L18" s="83"/>
      <c r="M18" s="83"/>
      <c r="N18" s="83"/>
      <c r="O18" s="83"/>
      <c r="P18" s="83"/>
      <c r="Q18" s="83"/>
      <c r="R18" s="83"/>
      <c r="S18" s="83"/>
      <c r="T18" s="83"/>
      <c r="U18" s="83"/>
      <c r="V18" s="83"/>
      <c r="W18" s="83"/>
      <c r="X18" s="83"/>
      <c r="Y18" s="83"/>
      <c r="Z18" s="83"/>
      <c r="AA18" s="83"/>
      <c r="AB18" s="83"/>
      <c r="AC18" s="27">
        <f t="shared" si="9"/>
        <v>0</v>
      </c>
      <c r="AD18" s="3196"/>
      <c r="AE18" s="3196"/>
      <c r="AF18" s="3195"/>
      <c r="AG18" s="3196"/>
      <c r="AH18" s="3196"/>
      <c r="AI18" s="3196"/>
      <c r="AJ18" s="3196"/>
      <c r="AK18" s="3196"/>
      <c r="AL18" s="3197"/>
      <c r="AM18" s="3196"/>
      <c r="AN18" s="3195"/>
      <c r="AO18" s="3196"/>
      <c r="AP18" s="3196"/>
      <c r="AQ18" s="3196"/>
      <c r="AR18" s="3196"/>
      <c r="AS18" s="3196"/>
      <c r="AT18" s="3198"/>
      <c r="AU18" s="3199"/>
      <c r="AV18" s="17">
        <f t="shared" si="10"/>
        <v>0</v>
      </c>
      <c r="AW18" s="17">
        <f t="shared" si="10"/>
        <v>0</v>
      </c>
      <c r="AX18" s="17">
        <f t="shared" si="10"/>
        <v>0</v>
      </c>
      <c r="AY18" s="3179">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G21" sqref="G2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09" t="s">
        <v>203</v>
      </c>
      <c r="B2" s="3309"/>
      <c r="C2" s="3309"/>
      <c r="D2" s="1970" t="s">
        <v>204</v>
      </c>
      <c r="E2" s="106" t="s">
        <v>205</v>
      </c>
      <c r="F2" s="1979"/>
      <c r="G2" s="1196"/>
      <c r="H2" s="1197"/>
      <c r="I2" s="1198" t="s">
        <v>857</v>
      </c>
      <c r="J2" s="1979"/>
      <c r="K2" s="1979"/>
      <c r="L2" s="1979"/>
    </row>
    <row r="3" spans="1:16" ht="15.75" thickBot="1">
      <c r="A3" s="3310" t="s">
        <v>206</v>
      </c>
      <c r="B3" s="3310"/>
      <c r="C3" s="3310"/>
      <c r="D3" s="107">
        <f>'数据-基础表'!AY6</f>
        <v>17908.099999999999</v>
      </c>
      <c r="E3" s="107">
        <f>'数据-基础表'!AZ5</f>
        <v>57683.92</v>
      </c>
      <c r="F3" s="1979"/>
      <c r="G3" s="279" t="s">
        <v>858</v>
      </c>
      <c r="H3" s="274" t="s">
        <v>859</v>
      </c>
      <c r="I3" s="1971">
        <f>ROUND('数据-基础表'!B3/'数据-基础表'!A3,2)</f>
        <v>3.22</v>
      </c>
      <c r="J3" s="1979"/>
      <c r="K3" s="1979"/>
      <c r="L3" s="1979"/>
    </row>
    <row r="4" spans="1:16" ht="15">
      <c r="A4" s="3311"/>
      <c r="B4" s="3312"/>
      <c r="C4" s="3313"/>
      <c r="D4" s="108" t="s">
        <v>204</v>
      </c>
      <c r="E4" s="109" t="s">
        <v>205</v>
      </c>
      <c r="F4" s="1979"/>
      <c r="G4" s="1199"/>
      <c r="H4" s="274" t="s">
        <v>860</v>
      </c>
      <c r="I4" s="1971">
        <f>ROUND(SUMIF('数据-基础表'!I9:AS9,"地上",'数据-基础表'!I5:AS5)/'数据-基础表'!A3,2)</f>
        <v>2.2999999999999998</v>
      </c>
      <c r="J4" s="1979"/>
      <c r="K4" s="1979"/>
      <c r="L4" s="1979"/>
    </row>
    <row r="5" spans="1:16">
      <c r="A5" s="110" t="s">
        <v>207</v>
      </c>
      <c r="B5" s="3314" t="s">
        <v>230</v>
      </c>
      <c r="C5" s="3314"/>
      <c r="D5" s="111">
        <f>ROUND($D$3*E5/$E$3,2)</f>
        <v>7548</v>
      </c>
      <c r="E5" s="112">
        <f>SUMIF('数据-基础表'!$11:$11,"住宅",'数据-基础表'!$5:$5)</f>
        <v>24312.92</v>
      </c>
      <c r="F5" s="1979"/>
      <c r="G5" s="279" t="s">
        <v>861</v>
      </c>
      <c r="H5" s="274" t="s">
        <v>859</v>
      </c>
      <c r="I5" s="1971">
        <f>ROUND(E31/D31,2)</f>
        <v>3.22</v>
      </c>
      <c r="J5" s="1979"/>
      <c r="K5" s="1979"/>
      <c r="L5" s="1979"/>
    </row>
    <row r="6" spans="1:16" ht="15" thickBot="1">
      <c r="A6" s="113"/>
      <c r="B6" s="3314" t="s">
        <v>208</v>
      </c>
      <c r="C6" s="3314"/>
      <c r="D6" s="111">
        <f>ROUND($D$3*E6/$E$3,2)</f>
        <v>10360.1</v>
      </c>
      <c r="E6" s="112">
        <f>E3-E5</f>
        <v>33371</v>
      </c>
      <c r="F6" s="1979"/>
      <c r="G6" s="1199"/>
      <c r="H6" s="274" t="s">
        <v>860</v>
      </c>
      <c r="I6" s="1971">
        <f>ROUND(F31/D31,2)</f>
        <v>1.62</v>
      </c>
      <c r="J6" s="1979"/>
      <c r="K6" s="1979"/>
      <c r="L6" s="1979"/>
    </row>
    <row r="7" spans="1:16" ht="15">
      <c r="A7" s="3306"/>
      <c r="B7" s="3307"/>
      <c r="C7" s="3308"/>
      <c r="D7" s="108" t="s">
        <v>204</v>
      </c>
      <c r="E7" s="114" t="s">
        <v>231</v>
      </c>
      <c r="F7" s="1979"/>
      <c r="G7" s="1154" t="s">
        <v>1646</v>
      </c>
      <c r="H7" s="1155"/>
      <c r="I7" s="1841">
        <v>2.2999999999999998</v>
      </c>
      <c r="J7" s="1979"/>
      <c r="K7" s="1979"/>
      <c r="L7" s="1979"/>
    </row>
    <row r="8" spans="1:16">
      <c r="A8" s="110" t="s">
        <v>209</v>
      </c>
      <c r="B8" s="115" t="s">
        <v>210</v>
      </c>
      <c r="C8" s="111" t="s">
        <v>211</v>
      </c>
      <c r="D8" s="111">
        <f t="shared" ref="D8:D15" si="0">ROUND($D$3*E8/$E$3,2)</f>
        <v>8479.36</v>
      </c>
      <c r="E8" s="116">
        <f>SUMIF('数据-基础表'!BB10:BK10,"地上",'数据-基础表'!BB5:BK5)</f>
        <v>27312.92</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8888.25</v>
      </c>
      <c r="E13" s="116">
        <f>SUMPRODUCT(('数据-基础表'!BB10:BK10="地下")*('数据-基础表'!BB11:BK11="车库")*('数据-基础表'!BB5:BK5))</f>
        <v>28630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17367.61</v>
      </c>
      <c r="E16" s="120">
        <f>SUM(E8:E15)</f>
        <v>55942.92</v>
      </c>
      <c r="F16" s="1979"/>
      <c r="G16" s="1981"/>
      <c r="H16" s="966" t="s">
        <v>219</v>
      </c>
      <c r="I16" s="967"/>
      <c r="J16" s="1979"/>
      <c r="K16" s="3300" t="s">
        <v>2566</v>
      </c>
      <c r="L16" s="3301"/>
      <c r="M16" s="3301"/>
      <c r="N16" s="3301"/>
      <c r="O16" s="3301"/>
      <c r="P16" s="3302"/>
    </row>
    <row r="17" spans="1:19" ht="15">
      <c r="A17" s="121" t="s">
        <v>216</v>
      </c>
      <c r="B17" s="122" t="s">
        <v>217</v>
      </c>
      <c r="C17" s="2293" t="s">
        <v>2314</v>
      </c>
      <c r="D17" s="108" t="s">
        <v>204</v>
      </c>
      <c r="E17" s="124" t="s">
        <v>205</v>
      </c>
      <c r="F17" s="125"/>
      <c r="G17" s="1363"/>
      <c r="H17" s="968" t="s">
        <v>218</v>
      </c>
      <c r="I17" s="969" t="s">
        <v>2313</v>
      </c>
      <c r="J17" s="1979"/>
      <c r="K17" s="3303" t="s">
        <v>2567</v>
      </c>
      <c r="L17" s="3304"/>
      <c r="M17" s="3305"/>
      <c r="N17" s="3303" t="s">
        <v>2568</v>
      </c>
      <c r="O17" s="3304"/>
      <c r="P17" s="3305"/>
      <c r="R17" s="2294" t="s">
        <v>2312</v>
      </c>
      <c r="S17" s="144"/>
    </row>
    <row r="18" spans="1:19" ht="15">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c r="A19" s="133"/>
      <c r="B19" s="115" t="s">
        <v>225</v>
      </c>
      <c r="C19" s="3019" t="s">
        <v>3274</v>
      </c>
      <c r="D19" s="111">
        <f t="shared" ref="D19:D26" si="1">ROUND($D$3*E19/$E$3,2)</f>
        <v>7548</v>
      </c>
      <c r="E19" s="134">
        <f t="shared" ref="E19:E26" si="2">SUM(F19:G19)</f>
        <v>24312.92</v>
      </c>
      <c r="F19" s="135">
        <f>'数据-基础表'!I13</f>
        <v>24312.92</v>
      </c>
      <c r="G19" s="1365"/>
      <c r="H19" s="972">
        <f>ROUND($D$3*I19/$E$3,2)</f>
        <v>522.07000000000005</v>
      </c>
      <c r="I19" s="116">
        <f>IF($I$17="自定义",P19,M19)</f>
        <v>1681.63</v>
      </c>
      <c r="J19" s="1979"/>
      <c r="K19" s="2603">
        <f t="shared" ref="K19:K26" si="3">ROUND(E$28*E19/E$27,2)</f>
        <v>45.63</v>
      </c>
      <c r="L19" s="274">
        <f t="shared" ref="L19:L26" si="4">ROUND(IF(COUNTIF(C19,"*住宅*")&gt;0,E$29*E19/E$32,0),2)</f>
        <v>1636</v>
      </c>
      <c r="M19" s="2604">
        <f>K19+L19</f>
        <v>1681.63</v>
      </c>
      <c r="N19" s="2605"/>
      <c r="O19" s="2606"/>
      <c r="P19" s="2607">
        <f>N19+O19</f>
        <v>0</v>
      </c>
      <c r="R19" s="274">
        <f t="shared" ref="R19:S26" si="5">D19+H19</f>
        <v>8070.07</v>
      </c>
      <c r="S19" s="2296">
        <f t="shared" si="5"/>
        <v>25994.55</v>
      </c>
    </row>
    <row r="20" spans="1:19">
      <c r="A20" s="138"/>
      <c r="B20" s="115" t="s">
        <v>226</v>
      </c>
      <c r="C20" s="3019" t="s">
        <v>3295</v>
      </c>
      <c r="D20" s="111">
        <f t="shared" si="1"/>
        <v>931.36</v>
      </c>
      <c r="E20" s="134">
        <f t="shared" si="2"/>
        <v>3000</v>
      </c>
      <c r="F20" s="135">
        <f>'数据-基础表'!K14</f>
        <v>3000</v>
      </c>
      <c r="G20" s="1365"/>
      <c r="H20" s="972">
        <f t="shared" ref="H20:H26" si="6">ROUND($D$3*I20/$E$3,2)</f>
        <v>1.75</v>
      </c>
      <c r="I20" s="116">
        <f t="shared" ref="I20:I26" si="7">IF($I$17="自定义",P20,M20)</f>
        <v>5.63</v>
      </c>
      <c r="J20" s="1979"/>
      <c r="K20" s="2603">
        <f t="shared" si="3"/>
        <v>5.63</v>
      </c>
      <c r="L20" s="274">
        <f t="shared" si="4"/>
        <v>0</v>
      </c>
      <c r="M20" s="2604">
        <f t="shared" ref="M20:M26" si="8">K20+L20</f>
        <v>5.63</v>
      </c>
      <c r="N20" s="2605"/>
      <c r="O20" s="2606"/>
      <c r="P20" s="2607">
        <f t="shared" ref="P20:P26" si="9">N20+O20</f>
        <v>0</v>
      </c>
      <c r="R20" s="274">
        <f t="shared" si="5"/>
        <v>933.11</v>
      </c>
      <c r="S20" s="2296">
        <f t="shared" si="5"/>
        <v>3005.63</v>
      </c>
    </row>
    <row r="21" spans="1:19">
      <c r="A21" s="138"/>
      <c r="B21" s="115" t="s">
        <v>226</v>
      </c>
      <c r="C21" s="3019" t="s">
        <v>3275</v>
      </c>
      <c r="D21" s="111">
        <f t="shared" si="1"/>
        <v>8888.25</v>
      </c>
      <c r="E21" s="134">
        <f t="shared" si="2"/>
        <v>28630</v>
      </c>
      <c r="F21" s="135"/>
      <c r="G21" s="1365">
        <f>'数据-基础表'!M15</f>
        <v>28630</v>
      </c>
      <c r="H21" s="972">
        <f t="shared" si="6"/>
        <v>16.68</v>
      </c>
      <c r="I21" s="116">
        <f t="shared" si="7"/>
        <v>53.74</v>
      </c>
      <c r="J21" s="1979"/>
      <c r="K21" s="2603">
        <f t="shared" si="3"/>
        <v>53.74</v>
      </c>
      <c r="L21" s="274">
        <f t="shared" si="4"/>
        <v>0</v>
      </c>
      <c r="M21" s="2604">
        <f t="shared" si="8"/>
        <v>53.74</v>
      </c>
      <c r="N21" s="2605"/>
      <c r="O21" s="2606"/>
      <c r="P21" s="2607">
        <f t="shared" si="9"/>
        <v>0</v>
      </c>
      <c r="R21" s="274">
        <f t="shared" si="5"/>
        <v>8904.93</v>
      </c>
      <c r="S21" s="2296">
        <f t="shared" si="5"/>
        <v>28683.74</v>
      </c>
    </row>
    <row r="22" spans="1:19">
      <c r="A22" s="138"/>
      <c r="B22" s="115" t="s">
        <v>226</v>
      </c>
      <c r="C22" s="3192" t="s">
        <v>3325</v>
      </c>
      <c r="D22" s="111">
        <f t="shared" si="1"/>
        <v>0</v>
      </c>
      <c r="E22" s="134">
        <f t="shared" si="2"/>
        <v>0</v>
      </c>
      <c r="F22" s="140">
        <f>'数据-基础表'!Q17</f>
        <v>0</v>
      </c>
      <c r="G22" s="1366"/>
      <c r="H22" s="972">
        <f t="shared" si="6"/>
        <v>0</v>
      </c>
      <c r="I22" s="116">
        <f t="shared" si="7"/>
        <v>0</v>
      </c>
      <c r="J22" s="1979"/>
      <c r="K22" s="2603">
        <f t="shared" si="3"/>
        <v>0</v>
      </c>
      <c r="L22" s="274">
        <f t="shared" si="4"/>
        <v>0</v>
      </c>
      <c r="M22" s="2604">
        <f t="shared" si="8"/>
        <v>0</v>
      </c>
      <c r="N22" s="2605"/>
      <c r="O22" s="2606"/>
      <c r="P22" s="2607">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79"/>
      <c r="K23" s="2603">
        <f t="shared" si="3"/>
        <v>0</v>
      </c>
      <c r="L23" s="274">
        <f t="shared" si="4"/>
        <v>0</v>
      </c>
      <c r="M23" s="2604">
        <f t="shared" si="8"/>
        <v>0</v>
      </c>
      <c r="N23" s="2605"/>
      <c r="O23" s="2606"/>
      <c r="P23" s="2607">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79"/>
      <c r="K24" s="2603">
        <f t="shared" si="3"/>
        <v>0</v>
      </c>
      <c r="L24" s="274">
        <f t="shared" si="4"/>
        <v>0</v>
      </c>
      <c r="M24" s="2604">
        <f t="shared" si="8"/>
        <v>0</v>
      </c>
      <c r="N24" s="2605"/>
      <c r="O24" s="2606"/>
      <c r="P24" s="2607">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03">
        <f t="shared" si="3"/>
        <v>0</v>
      </c>
      <c r="L25" s="274">
        <f t="shared" si="4"/>
        <v>0</v>
      </c>
      <c r="M25" s="2604">
        <f t="shared" si="8"/>
        <v>0</v>
      </c>
      <c r="N25" s="2605"/>
      <c r="O25" s="2606"/>
      <c r="P25" s="2607">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08">
        <f t="shared" si="3"/>
        <v>0</v>
      </c>
      <c r="L26" s="279">
        <f t="shared" si="4"/>
        <v>0</v>
      </c>
      <c r="M26" s="146">
        <f t="shared" si="8"/>
        <v>0</v>
      </c>
      <c r="N26" s="2609"/>
      <c r="O26" s="2610"/>
      <c r="P26" s="2611">
        <f t="shared" si="9"/>
        <v>0</v>
      </c>
      <c r="R26" s="274">
        <f t="shared" si="5"/>
        <v>0</v>
      </c>
      <c r="S26" s="2296">
        <f t="shared" si="5"/>
        <v>0</v>
      </c>
    </row>
    <row r="27" spans="1:19" ht="29.25" thickBot="1">
      <c r="A27" s="138"/>
      <c r="B27" s="111"/>
      <c r="C27" s="127" t="s">
        <v>215</v>
      </c>
      <c r="D27" s="134">
        <f>SUM(D19:D26)</f>
        <v>17367.61</v>
      </c>
      <c r="E27" s="143">
        <f>IF(SUM(E19:E26)='数据-基础表'!BA5,SUM(E19:E26),IF(F27="地上面积有误","面积有误","地下面积有误"))</f>
        <v>55942.92</v>
      </c>
      <c r="F27" s="134">
        <f>IF(SUM(F19:F26)=E8,SUM(F19:F26),"地上面积有误")</f>
        <v>27312.92</v>
      </c>
      <c r="G27" s="112">
        <f>SUM(G19:G26)</f>
        <v>28630</v>
      </c>
      <c r="H27" s="973">
        <f>SUM(H19:H26)</f>
        <v>540.5</v>
      </c>
      <c r="I27" s="974">
        <f>SUM(I19:I26)</f>
        <v>1741.0000000000002</v>
      </c>
      <c r="J27" s="1979"/>
      <c r="K27" s="2612">
        <f>SUM(K19:K26)</f>
        <v>105</v>
      </c>
      <c r="L27" s="2613">
        <f>SUM(L19:L26)</f>
        <v>1636</v>
      </c>
      <c r="M27" s="2614">
        <f>SUM(M19:M26)</f>
        <v>1741.0000000000002</v>
      </c>
      <c r="N27" s="2612">
        <f t="shared" ref="N27:O27" si="10">SUM(N19:N26)</f>
        <v>0</v>
      </c>
      <c r="O27" s="2613">
        <f t="shared" si="10"/>
        <v>0</v>
      </c>
      <c r="P27" s="2615">
        <f>SUM(P19:P26)</f>
        <v>0</v>
      </c>
      <c r="R27" s="2300" t="str">
        <f>IF(SUM(R19:R26)=$D$3,SUM(R19:R26),SUM(R19:R26)&amp;"误差"&amp;ROUND(SUM(R19:R26)-$D$3,2))</f>
        <v>17908.11误差0.01</v>
      </c>
      <c r="S27" s="274">
        <f>IF(SUM(S19:S26)=$E$3,SUM(S19:S26),SUM(S19:S26)&amp;"误差"&amp;ROUND(SUM(S19:S26)-E3,2))</f>
        <v>57683.92</v>
      </c>
    </row>
    <row r="28" spans="1:19">
      <c r="A28" s="138"/>
      <c r="B28" s="115" t="s">
        <v>227</v>
      </c>
      <c r="C28" s="136" t="s">
        <v>228</v>
      </c>
      <c r="D28" s="111">
        <f>ROUND($D$3*E28/$E$3,2)</f>
        <v>32.6</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507.9</v>
      </c>
      <c r="E29" s="134">
        <f>SUM(F29:G29)</f>
        <v>1636</v>
      </c>
      <c r="F29" s="144">
        <f>'数据-基础表'!BM5+'数据-基础表'!BO5</f>
        <v>1636</v>
      </c>
      <c r="G29" s="146">
        <f>'数据-基础表'!BN5+'数据-基础表'!BP5</f>
        <v>0</v>
      </c>
      <c r="H29" s="1979"/>
      <c r="I29" s="1979"/>
      <c r="J29" s="1979"/>
      <c r="K29" s="1979"/>
      <c r="L29" s="1979"/>
    </row>
    <row r="30" spans="1:19">
      <c r="A30" s="138"/>
      <c r="B30" s="111"/>
      <c r="C30" s="147" t="s">
        <v>215</v>
      </c>
      <c r="D30" s="134">
        <f>SUM(D28:D29)</f>
        <v>540.5</v>
      </c>
      <c r="E30" s="134">
        <f>SUM(E28:E29)</f>
        <v>1741</v>
      </c>
      <c r="F30" s="134">
        <f>SUM(F28:F29)</f>
        <v>1741</v>
      </c>
      <c r="G30" s="112">
        <f>SUM(G28:G29)</f>
        <v>0</v>
      </c>
      <c r="H30" s="1979"/>
      <c r="I30" s="1979"/>
      <c r="J30" s="1979"/>
      <c r="K30" s="1979"/>
      <c r="L30" s="1979"/>
    </row>
    <row r="31" spans="1:19" ht="32.25" customHeight="1" thickBot="1">
      <c r="A31" s="1367"/>
      <c r="B31" s="1368" t="s">
        <v>229</v>
      </c>
      <c r="C31" s="2325" t="s">
        <v>2323</v>
      </c>
      <c r="D31" s="1369">
        <f>D27+D30</f>
        <v>17908.11</v>
      </c>
      <c r="E31" s="1369">
        <f>E27+E30</f>
        <v>57683.92</v>
      </c>
      <c r="F31" s="1370">
        <f>F27+F30</f>
        <v>29053.919999999998</v>
      </c>
      <c r="G31" s="1371">
        <f>G27+G30</f>
        <v>28630</v>
      </c>
      <c r="H31" s="1979"/>
      <c r="I31" s="1979"/>
      <c r="J31" s="1979"/>
      <c r="K31" s="1979"/>
      <c r="L31" s="1979"/>
    </row>
    <row r="32" spans="1:19">
      <c r="A32" s="1979"/>
      <c r="B32" s="2358" t="s">
        <v>2322</v>
      </c>
      <c r="C32" s="2642"/>
      <c r="D32" s="1199"/>
      <c r="E32" s="1199">
        <f>SUMIF(C19:C26,"*住宅*",E19:E26)</f>
        <v>24312.92</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S7" sqref="S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43328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40.5">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平层住宅</v>
      </c>
      <c r="B6" s="2332" t="str">
        <f>IF(A6=0,"","经营性")</f>
        <v>经营性</v>
      </c>
      <c r="C6" s="173" t="s">
        <v>923</v>
      </c>
      <c r="D6" s="2303">
        <f>SUMIF(项目基本情况!D$15:I$15,C6,项目基本情况!D$18:I$18)</f>
        <v>70</v>
      </c>
      <c r="E6" s="2304">
        <f>IF(B6="","",SUMIF(项目基本情况!D$15:I$15,C6,项目基本情况!D$17:I$17))</f>
        <v>68685</v>
      </c>
      <c r="F6" s="174">
        <f>SUMIF(项目基本情况!D$15:I$15,C6,项目基本情况!D$19:I$19)</f>
        <v>69.47</v>
      </c>
      <c r="G6" s="175">
        <f>IF(ISERROR(ROUND(POWER(1+H6,D6-F6)*(POWER(1+H6,F6)-1)/(POWER(1+H6,D6)-1),3)),0,ROUND(POWER(1+H6,D6-F6)*(POWER(1+H6,F6)-1)/(POWER(1+H6,D6)-1),3))</f>
        <v>0.999</v>
      </c>
      <c r="H6" s="3020">
        <v>4.4999999999999998E-2</v>
      </c>
      <c r="I6" s="3020">
        <v>0.05</v>
      </c>
      <c r="J6" s="176">
        <v>8.5000000000000006E-2</v>
      </c>
      <c r="K6" s="179">
        <f>SUMIF('数据-汇总表'!C$19:C$33,'数据-取费表'!A6,'数据-汇总表'!E$19:E$33)</f>
        <v>24312.92</v>
      </c>
      <c r="L6" s="3021">
        <f>2500+500</f>
        <v>3000</v>
      </c>
      <c r="M6" s="177">
        <f t="shared" ref="M6:M14" si="0">ROUND(K6*L6/10000,0)</f>
        <v>7294</v>
      </c>
      <c r="N6" s="3022">
        <v>0</v>
      </c>
      <c r="O6" s="177">
        <f>IF($N$5="成新度","——",ROUND(M6*N6,0))</f>
        <v>0</v>
      </c>
      <c r="P6" s="178">
        <f>IF($N$5="成新度","——",M6-O6)</f>
        <v>7294</v>
      </c>
      <c r="Q6" s="3023">
        <v>0.1</v>
      </c>
      <c r="R6" s="179">
        <f>SUMIF('数据-汇总表'!C$19:C$33,A6,'数据-汇总表'!R$19:R$33)</f>
        <v>8070.07</v>
      </c>
      <c r="S6" s="132">
        <f>IF('数据-汇总表'!$I$17="按面积比例",SUMIF('数据-汇总表'!C$19:C$33,A6,'数据-汇总表'!K$19:K$33),SUMIF('数据-汇总表'!C$19:C$33,A6,'数据-汇总表'!N$19:N$33))</f>
        <v>45.63</v>
      </c>
      <c r="T6" s="2229">
        <f>IF($T$4="按面积比例",IF(ISERROR(ROUND($M$14*S6/S$16,0)),"0",ROUND($M$14*S6/S$16,0)),"需自行计算录入")</f>
        <v>10</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34"/>
      <c r="AN6" s="2387"/>
      <c r="AO6" s="1995"/>
      <c r="AP6" s="1202">
        <f>ROUND(1-1/(1+H6)^F6,3)</f>
        <v>0.95299999999999996</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底商</v>
      </c>
      <c r="B7" s="2332" t="str">
        <f t="shared" ref="B7:B13" si="1">IF(A7=0,"","经营性")</f>
        <v>经营性</v>
      </c>
      <c r="C7" s="173" t="s">
        <v>2990</v>
      </c>
      <c r="D7" s="2303">
        <f>SUMIF(项目基本情况!D$15:I$15,C7,项目基本情况!D$18:I$18)</f>
        <v>40</v>
      </c>
      <c r="E7" s="2304">
        <f>IF(B7="","",SUMIF(项目基本情况!D$15:I$15,C7,项目基本情况!D$17:I$17))</f>
        <v>57728</v>
      </c>
      <c r="F7" s="174">
        <f>SUMIF(项目基本情况!D$15:I$15,C7,项目基本情况!D$19:I$19)</f>
        <v>39.450000000000003</v>
      </c>
      <c r="G7" s="175">
        <f t="shared" ref="G7:G11" si="2">IF(ISERROR(ROUND(POWER(1+H7,D7-F7)*(POWER(1+H7,F7)-1)/(POWER(1+H7,D7)-1),3)),0,ROUND(POWER(1+H7,D7-F7)*(POWER(1+H7,F7)-1)/(POWER(1+H7,D7)-1),3))</f>
        <v>0.995</v>
      </c>
      <c r="H7" s="3020">
        <v>4.4999999999999998E-2</v>
      </c>
      <c r="I7" s="3020">
        <v>5.5E-2</v>
      </c>
      <c r="J7" s="176">
        <v>8.5000000000000006E-2</v>
      </c>
      <c r="K7" s="179">
        <f>SUMIF('数据-汇总表'!C$19:C$33,'数据-取费表'!A7,'数据-汇总表'!E$19:E$33)</f>
        <v>3000</v>
      </c>
      <c r="L7" s="3021">
        <v>2500</v>
      </c>
      <c r="M7" s="177">
        <f t="shared" si="0"/>
        <v>750</v>
      </c>
      <c r="N7" s="3022">
        <v>0</v>
      </c>
      <c r="O7" s="177">
        <f t="shared" ref="O7:O14" si="3">IF($N$5="成新度","——",ROUND(M7*N7,0))</f>
        <v>0</v>
      </c>
      <c r="P7" s="178">
        <f t="shared" ref="P7:P14" si="4">IF($N$5="成新度","——",M7-O7)</f>
        <v>750</v>
      </c>
      <c r="Q7" s="3023">
        <v>0.15</v>
      </c>
      <c r="R7" s="179">
        <f>SUMIF('数据-汇总表'!C$19:C$33,A7,'数据-汇总表'!R$19:R$33)</f>
        <v>933.11</v>
      </c>
      <c r="S7" s="132">
        <f>IF('数据-汇总表'!$I$17="按面积比例",SUMIF('数据-汇总表'!C$19:C$33,A7,'数据-汇总表'!K$19:K$33),SUMIF('数据-汇总表'!C$19:C$33,A7,'数据-汇总表'!N$19:N$33))</f>
        <v>5.63</v>
      </c>
      <c r="T7" s="2229">
        <f t="shared" ref="T7:T13" si="5">IF($T$4="按面积比例",IF(ISERROR(ROUND($M$14*S7/S$16,0)),"0",ROUND($M$14*S7/S$16,0)),"需自行计算录入")</f>
        <v>1</v>
      </c>
      <c r="U7" s="180">
        <v>8</v>
      </c>
      <c r="V7" s="181">
        <v>2.5000000000000001E-2</v>
      </c>
      <c r="W7" s="181">
        <v>0.15</v>
      </c>
      <c r="X7" s="2316"/>
      <c r="Y7" s="182">
        <v>1</v>
      </c>
      <c r="Z7" s="183"/>
      <c r="AA7" s="176"/>
      <c r="AB7" s="176"/>
      <c r="AC7" s="2319"/>
      <c r="AD7" s="184"/>
      <c r="AE7" s="970">
        <f t="shared" ref="AE7:AE13" ca="1" si="6">IF(AN7="",0,SUMIF(INDIRECT("'"&amp;AN7&amp;"'"&amp;"!E:E"),$AE$5,INDIRECT("'"&amp;AN7&amp;"'"&amp;"!F:F")))</f>
        <v>37.950000000000003</v>
      </c>
      <c r="AF7" s="141"/>
      <c r="AG7" s="1211">
        <f t="shared" ref="AG7:AG13" si="7">IF(AF7="",0,AE7-AF7)</f>
        <v>0</v>
      </c>
      <c r="AH7" s="141"/>
      <c r="AI7" s="187">
        <v>365</v>
      </c>
      <c r="AJ7" s="188"/>
      <c r="AK7" s="189">
        <v>1.4999999999999999E-2</v>
      </c>
      <c r="AL7" s="190">
        <v>1.5E-3</v>
      </c>
      <c r="AM7" s="2385">
        <v>0.02</v>
      </c>
      <c r="AN7" s="2387" t="s">
        <v>3052</v>
      </c>
      <c r="AO7" s="1995"/>
      <c r="AP7" s="1202">
        <f t="shared" ref="AP7:AP13" si="8">ROUND(1-1/(1+H7)^F7,3)</f>
        <v>0.82399999999999995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2992</v>
      </c>
      <c r="D8" s="2303">
        <f>SUMIF(项目基本情况!D$15:I$15,C8,项目基本情况!D$18:I$18)</f>
        <v>50</v>
      </c>
      <c r="E8" s="2304">
        <f>IF(B8="","",SUMIF(项目基本情况!D$15:I$15,C8,项目基本情况!D$17:I$17))</f>
        <v>61380</v>
      </c>
      <c r="F8" s="174">
        <f>SUMIF(项目基本情况!D$15:I$15,C8,项目基本情况!D$19:I$19)</f>
        <v>49.45</v>
      </c>
      <c r="G8" s="175">
        <f t="shared" si="2"/>
        <v>0.996</v>
      </c>
      <c r="H8" s="3020">
        <v>0.04</v>
      </c>
      <c r="I8" s="3020">
        <v>4.4999999999999998E-2</v>
      </c>
      <c r="J8" s="176">
        <v>8.5000000000000006E-2</v>
      </c>
      <c r="K8" s="179">
        <f>SUMIF('数据-汇总表'!C$19:C$33,'数据-取费表'!A8,'数据-汇总表'!E$19:E$33)</f>
        <v>28630</v>
      </c>
      <c r="L8" s="3021">
        <v>2200</v>
      </c>
      <c r="M8" s="177">
        <f>ROUND(K8*L8/10000,0)</f>
        <v>6299</v>
      </c>
      <c r="N8" s="3022">
        <v>0</v>
      </c>
      <c r="O8" s="177">
        <f t="shared" si="3"/>
        <v>0</v>
      </c>
      <c r="P8" s="178">
        <f t="shared" si="4"/>
        <v>6299</v>
      </c>
      <c r="Q8" s="3023">
        <v>0.03</v>
      </c>
      <c r="R8" s="179">
        <f>SUMIF('数据-汇总表'!C$19:C$33,A8,'数据-汇总表'!R$19:R$33)</f>
        <v>8904.93</v>
      </c>
      <c r="S8" s="132">
        <f>IF('数据-汇总表'!$I$17="按面积比例",SUMIF('数据-汇总表'!C$19:C$33,A8,'数据-汇总表'!K$19:K$33),SUMIF('数据-汇总表'!C$19:C$33,A8,'数据-汇总表'!N$19:N$33))</f>
        <v>53.74</v>
      </c>
      <c r="T8" s="2229">
        <f t="shared" si="5"/>
        <v>12</v>
      </c>
      <c r="U8" s="180"/>
      <c r="V8" s="181"/>
      <c r="W8" s="181"/>
      <c r="X8" s="2316"/>
      <c r="Y8" s="182"/>
      <c r="Z8" s="183"/>
      <c r="AA8" s="176"/>
      <c r="AB8" s="176"/>
      <c r="AC8" s="2319"/>
      <c r="AD8" s="184"/>
      <c r="AE8" s="970">
        <f t="shared" ca="1" si="6"/>
        <v>47.95</v>
      </c>
      <c r="AF8" s="141"/>
      <c r="AG8" s="1211">
        <f t="shared" si="7"/>
        <v>0</v>
      </c>
      <c r="AH8" s="141">
        <v>818</v>
      </c>
      <c r="AI8" s="187">
        <v>12</v>
      </c>
      <c r="AJ8" s="188"/>
      <c r="AK8" s="189"/>
      <c r="AL8" s="190"/>
      <c r="AM8" s="2385"/>
      <c r="AN8" s="2387" t="s">
        <v>3055</v>
      </c>
      <c r="AO8" s="1995"/>
      <c r="AP8" s="1202">
        <f t="shared" si="8"/>
        <v>0.85599999999999998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别墅</v>
      </c>
      <c r="B9" s="2332" t="str">
        <f t="shared" si="1"/>
        <v>经营性</v>
      </c>
      <c r="C9" s="173" t="s">
        <v>923</v>
      </c>
      <c r="D9" s="2303">
        <f>SUMIF(项目基本情况!D$15:I$15,C9,项目基本情况!D$18:I$18)</f>
        <v>70</v>
      </c>
      <c r="E9" s="2304">
        <f>IF(B9="","",SUMIF(项目基本情况!D$15:I$15,C9,项目基本情况!D$17:I$17))</f>
        <v>68685</v>
      </c>
      <c r="F9" s="174">
        <f>SUMIF(项目基本情况!D$15:I$15,C9,项目基本情况!D$19:I$19)</f>
        <v>69.47</v>
      </c>
      <c r="G9" s="175">
        <f t="shared" si="2"/>
        <v>0.999</v>
      </c>
      <c r="H9" s="176">
        <f>H6</f>
        <v>4.4999999999999998E-2</v>
      </c>
      <c r="I9" s="176">
        <f>I6</f>
        <v>0.05</v>
      </c>
      <c r="J9" s="176">
        <f>J6</f>
        <v>8.5000000000000006E-2</v>
      </c>
      <c r="K9" s="179">
        <f>SUMIF('数据-汇总表'!C$19:C$33,'数据-取费表'!A9,'数据-汇总表'!E$19:E$33)</f>
        <v>0</v>
      </c>
      <c r="L9" s="3021">
        <f>L6</f>
        <v>3000</v>
      </c>
      <c r="M9" s="177">
        <f t="shared" si="0"/>
        <v>0</v>
      </c>
      <c r="N9" s="194">
        <v>0</v>
      </c>
      <c r="O9" s="177">
        <f t="shared" si="3"/>
        <v>0</v>
      </c>
      <c r="P9" s="178">
        <f t="shared" si="4"/>
        <v>0</v>
      </c>
      <c r="Q9" s="192">
        <v>0.15</v>
      </c>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0.95299999999999996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2200</v>
      </c>
      <c r="M14" s="177">
        <f t="shared" si="0"/>
        <v>23</v>
      </c>
      <c r="N14" s="194">
        <v>0</v>
      </c>
      <c r="O14" s="177">
        <f t="shared" si="3"/>
        <v>0</v>
      </c>
      <c r="P14" s="178">
        <f t="shared" si="4"/>
        <v>23</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2317</v>
      </c>
      <c r="B15" s="2301" t="s">
        <v>1680</v>
      </c>
      <c r="C15" s="2302" t="s">
        <v>2316</v>
      </c>
      <c r="D15" s="2303"/>
      <c r="E15" s="2304"/>
      <c r="F15" s="174"/>
      <c r="G15" s="175"/>
      <c r="H15" s="2305"/>
      <c r="I15" s="2305"/>
      <c r="J15" s="2305"/>
      <c r="K15" s="179">
        <f>SUMIF('数据-汇总表'!C$19:C$33,'数据-取费表'!A15,'数据-汇总表'!E$19:E$33)</f>
        <v>1636</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0.997</v>
      </c>
      <c r="H16" s="203">
        <f>ROUND(SUMPRODUCT(H6:H13,K6:K13)/SUMPRODUCT((H6:H13&gt;0)*(K6:K13)),3)</f>
        <v>4.2000000000000003E-2</v>
      </c>
      <c r="I16" s="204"/>
      <c r="J16" s="204"/>
      <c r="K16" s="205">
        <f>SUM(K6:K15)</f>
        <v>57683.92</v>
      </c>
      <c r="L16" s="206">
        <f>ROUND(M16*10000/SUM(K6:K14),0)</f>
        <v>2563</v>
      </c>
      <c r="M16" s="206">
        <f>SUM(M6:M14)</f>
        <v>14366</v>
      </c>
      <c r="N16" s="207">
        <f>ROUND(SUMPRODUCT(M6:M14,N6:N14)/M16,3)</f>
        <v>0</v>
      </c>
      <c r="O16" s="206">
        <f>SUM(O6:O14)</f>
        <v>0</v>
      </c>
      <c r="P16" s="206">
        <f>SUM(P6:P14)</f>
        <v>14366</v>
      </c>
      <c r="Q16" s="208">
        <f>ROUND(SUMPRODUCT(Q6:Q13,K6:K13)/SUMPRODUCT((Q6:Q13&gt;0)*(K6:K13)),2)</f>
        <v>7.0000000000000007E-2</v>
      </c>
      <c r="R16" s="2306">
        <f>SUM(R6:R13)</f>
        <v>17908.11</v>
      </c>
      <c r="S16" s="209">
        <f>SUM(S6:S13)</f>
        <v>105</v>
      </c>
      <c r="T16" s="210">
        <f>IF(SUMIF(T6:T13,"&lt;9E307")=M14,SUMIF(T6:T13,"&lt;9E307"),"有误，请检查")</f>
        <v>23</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0.89600000000000002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2338</v>
      </c>
      <c r="B27" s="227">
        <v>80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2339</v>
      </c>
      <c r="B28" s="229">
        <v>110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2337</v>
      </c>
      <c r="B29" s="232">
        <f ca="1">'剩余法-待开发'!C21+'剩余法-待开发'!C22</f>
        <v>562</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5"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170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7" t="s">
        <v>275</v>
      </c>
      <c r="B32" s="3215">
        <v>30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0.03</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3211">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7" t="s">
        <v>283</v>
      </c>
      <c r="B42" s="240">
        <v>0.05</v>
      </c>
      <c r="C42" s="3092">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7"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5" customHeight="1">
      <c r="A44" s="239" t="s">
        <v>285</v>
      </c>
      <c r="B44" s="322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69"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70"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70"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25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1097</v>
      </c>
      <c r="C53" s="3071" t="s">
        <v>2901</v>
      </c>
      <c r="D53" s="3072"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2903</v>
      </c>
      <c r="B54" s="186">
        <v>25</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2904</v>
      </c>
      <c r="B55" s="186">
        <v>18</v>
      </c>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2905</v>
      </c>
      <c r="B56" s="186">
        <v>12</v>
      </c>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2906</v>
      </c>
      <c r="B57" s="186">
        <v>8</v>
      </c>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2907</v>
      </c>
      <c r="B58" s="186">
        <v>3</v>
      </c>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2908</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2912</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5" t="s">
        <v>1664</v>
      </c>
      <c r="B1" s="3316"/>
      <c r="C1" s="3316"/>
      <c r="D1" s="3316"/>
      <c r="E1" s="3316"/>
      <c r="F1" s="3316"/>
      <c r="G1" s="3316"/>
      <c r="H1" s="1997"/>
      <c r="I1" s="1998"/>
      <c r="J1" s="1999"/>
      <c r="K1" s="1997"/>
      <c r="L1" s="1998"/>
      <c r="M1" s="1999"/>
      <c r="N1" s="1997"/>
      <c r="O1" s="1998"/>
      <c r="P1" s="1999"/>
      <c r="Q1" s="2000"/>
      <c r="R1" s="2001"/>
    </row>
    <row r="2" spans="1:18" ht="14.25" thickBot="1">
      <c r="A2" s="1219"/>
      <c r="B2" s="1220"/>
      <c r="C2" s="1221" t="s">
        <v>1665</v>
      </c>
      <c r="D2" s="1222"/>
      <c r="E2" s="1223"/>
      <c r="F2" s="1224"/>
      <c r="G2" s="1221" t="s">
        <v>1666</v>
      </c>
      <c r="H2" s="2003"/>
      <c r="I2" s="2003"/>
      <c r="J2" s="2003"/>
      <c r="K2" s="2003"/>
      <c r="L2" s="2003"/>
      <c r="M2" s="2003"/>
      <c r="N2" s="2003"/>
      <c r="O2" s="2003"/>
      <c r="P2" s="2003"/>
      <c r="Q2" s="2003"/>
      <c r="R2" s="2003"/>
    </row>
    <row r="3" spans="1:18" ht="67.5">
      <c r="A3" s="1225" t="s">
        <v>1667</v>
      </c>
      <c r="B3" s="1226" t="s">
        <v>1654</v>
      </c>
      <c r="C3" s="3216" t="s">
        <v>3278</v>
      </c>
      <c r="D3" s="2004"/>
      <c r="E3" s="1227" t="s">
        <v>1667</v>
      </c>
      <c r="F3" s="1228" t="s">
        <v>1655</v>
      </c>
      <c r="G3" s="3077"/>
      <c r="H3" s="2003"/>
      <c r="I3" s="2003"/>
      <c r="J3" s="2003"/>
      <c r="K3" s="2003"/>
      <c r="L3" s="2003"/>
      <c r="M3" s="2003"/>
      <c r="N3" s="2003"/>
      <c r="O3" s="2003"/>
      <c r="P3" s="2003"/>
      <c r="Q3" s="2003"/>
      <c r="R3" s="2003"/>
    </row>
    <row r="4" spans="1:18" ht="54">
      <c r="A4" s="1227"/>
      <c r="B4" s="1229" t="s">
        <v>1668</v>
      </c>
      <c r="C4" s="3217" t="s">
        <v>3279</v>
      </c>
      <c r="D4" s="2004"/>
      <c r="E4" s="1230"/>
      <c r="F4" s="1231" t="s">
        <v>1669</v>
      </c>
      <c r="G4" s="3076"/>
      <c r="H4" s="2003"/>
      <c r="I4" s="2003"/>
      <c r="J4" s="2003"/>
      <c r="K4" s="2003"/>
      <c r="L4" s="2003"/>
      <c r="M4" s="2003"/>
      <c r="N4" s="2003"/>
      <c r="O4" s="2003"/>
      <c r="P4" s="2003"/>
      <c r="Q4" s="2003"/>
      <c r="R4" s="2003"/>
    </row>
    <row r="5" spans="1:18" ht="14.25">
      <c r="A5" s="1227"/>
      <c r="B5" s="1229" t="s">
        <v>1670</v>
      </c>
      <c r="C5" s="3218"/>
      <c r="D5" s="2004"/>
      <c r="E5" s="1230"/>
      <c r="F5" s="1229" t="s">
        <v>2546</v>
      </c>
      <c r="G5" s="3076"/>
      <c r="H5" s="2003"/>
      <c r="I5" s="2003"/>
      <c r="J5" s="2003"/>
      <c r="K5" s="2003"/>
      <c r="L5" s="2003"/>
      <c r="M5" s="2003"/>
      <c r="N5" s="2003"/>
      <c r="O5" s="2003"/>
      <c r="P5" s="2003"/>
      <c r="Q5" s="2003"/>
      <c r="R5" s="2003"/>
    </row>
    <row r="6" spans="1:18" ht="81">
      <c r="A6" s="1227"/>
      <c r="B6" s="1229" t="s">
        <v>1656</v>
      </c>
      <c r="C6" s="3219" t="s">
        <v>3280</v>
      </c>
      <c r="D6" s="2004"/>
      <c r="E6" s="1230"/>
      <c r="F6" s="1229" t="s">
        <v>2547</v>
      </c>
      <c r="G6" s="3076"/>
      <c r="H6" s="2003"/>
      <c r="I6" s="2003"/>
      <c r="J6" s="2003"/>
      <c r="K6" s="2003"/>
      <c r="L6" s="2003"/>
      <c r="M6" s="2003"/>
      <c r="N6" s="2003"/>
      <c r="O6" s="2003"/>
      <c r="P6" s="2003"/>
      <c r="Q6" s="2003"/>
      <c r="R6" s="2003"/>
    </row>
    <row r="7" spans="1:18" ht="135.75" thickBot="1">
      <c r="A7" s="1227"/>
      <c r="B7" s="1229" t="s">
        <v>2546</v>
      </c>
      <c r="C7" s="3222" t="s">
        <v>3281</v>
      </c>
      <c r="D7" s="2005"/>
      <c r="E7" s="1232"/>
      <c r="F7" s="1233" t="s">
        <v>1671</v>
      </c>
      <c r="G7" s="3078"/>
      <c r="H7" s="2003"/>
      <c r="I7" s="2003"/>
      <c r="J7" s="2003"/>
      <c r="K7" s="2003"/>
      <c r="L7" s="2003"/>
      <c r="M7" s="2003"/>
      <c r="N7" s="2003"/>
      <c r="O7" s="2003"/>
      <c r="P7" s="2003"/>
      <c r="Q7" s="2003"/>
      <c r="R7" s="2003"/>
    </row>
    <row r="8" spans="1:18" ht="27">
      <c r="A8" s="1227"/>
      <c r="B8" s="1229" t="s">
        <v>2547</v>
      </c>
      <c r="C8" s="3219" t="s">
        <v>3235</v>
      </c>
      <c r="D8" s="2005"/>
      <c r="E8" s="2005"/>
      <c r="F8" s="1550"/>
      <c r="G8" s="1550"/>
      <c r="H8" s="2003"/>
      <c r="I8" s="2003"/>
      <c r="J8" s="2003"/>
      <c r="K8" s="2003"/>
      <c r="L8" s="2003"/>
      <c r="M8" s="2003"/>
      <c r="N8" s="2003"/>
      <c r="O8" s="2003"/>
      <c r="P8" s="2003"/>
      <c r="Q8" s="2003"/>
      <c r="R8" s="2003"/>
    </row>
    <row r="9" spans="1:18" ht="67.5">
      <c r="A9" s="1227"/>
      <c r="B9" s="1229" t="s">
        <v>1657</v>
      </c>
      <c r="C9" s="3217" t="s">
        <v>3288</v>
      </c>
      <c r="D9" s="2004"/>
      <c r="E9" s="2005"/>
      <c r="F9" s="1550"/>
      <c r="G9" s="1550"/>
      <c r="H9" s="2003"/>
      <c r="I9" s="2003"/>
      <c r="J9" s="2003"/>
      <c r="K9" s="2003"/>
      <c r="L9" s="2003"/>
      <c r="M9" s="2003"/>
      <c r="N9" s="2003"/>
      <c r="O9" s="2003"/>
      <c r="P9" s="2003"/>
      <c r="Q9" s="2003"/>
      <c r="R9" s="2003"/>
    </row>
    <row r="10" spans="1:18" s="2011" customFormat="1" ht="14.25" thickBot="1">
      <c r="A10" s="1234"/>
      <c r="B10" s="1235" t="s">
        <v>1672</v>
      </c>
      <c r="C10" s="3220" t="s">
        <v>3277</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2"/>
      <c r="E13" s="2573"/>
      <c r="F13" s="2573"/>
      <c r="G13" s="2573"/>
    </row>
    <row r="14" spans="1:18" ht="14.25" thickBot="1">
      <c r="A14" s="1236"/>
      <c r="B14" s="1237"/>
      <c r="C14" s="1238" t="s">
        <v>1665</v>
      </c>
      <c r="D14" s="2004"/>
      <c r="E14" s="1239"/>
      <c r="F14" s="1239"/>
      <c r="G14" s="1221" t="s">
        <v>1666</v>
      </c>
    </row>
    <row r="15" spans="1:18" ht="67.5">
      <c r="A15" s="2583" t="s">
        <v>1658</v>
      </c>
      <c r="B15" s="1240" t="s">
        <v>1654</v>
      </c>
      <c r="C15" s="1241" t="str">
        <f>C3</f>
        <v>估价对象周边居住用地比例较大、居住小区规模较大和社区发展完善程度好，综合评价居住社区成熟度好。</v>
      </c>
      <c r="D15" s="2004"/>
      <c r="E15" s="2580" t="s">
        <v>1659</v>
      </c>
      <c r="F15" s="1240" t="s">
        <v>1674</v>
      </c>
      <c r="G15" s="1242">
        <f>G3</f>
        <v>0</v>
      </c>
    </row>
    <row r="16" spans="1:18" ht="54">
      <c r="A16" s="2584"/>
      <c r="B16" s="1243" t="s">
        <v>1668</v>
      </c>
      <c r="C16" s="1244" t="str">
        <f>C4</f>
        <v>估价对象位于福建省鼓楼区龙庭路，周边商业氛围成熟度较好，人流量较大，商业繁华较好。</v>
      </c>
      <c r="D16" s="2004"/>
      <c r="E16" s="2581"/>
      <c r="F16" s="1245" t="s">
        <v>1669</v>
      </c>
      <c r="G16" s="1003">
        <f>G4</f>
        <v>0</v>
      </c>
    </row>
    <row r="17" spans="1:7" ht="14.25">
      <c r="A17" s="2584"/>
      <c r="B17" s="1243" t="s">
        <v>1670</v>
      </c>
      <c r="C17" s="1244">
        <f>C5</f>
        <v>0</v>
      </c>
      <c r="D17" s="2005"/>
      <c r="E17" s="2581"/>
      <c r="F17" s="1245" t="s">
        <v>1675</v>
      </c>
      <c r="G17" s="2789"/>
    </row>
    <row r="18" spans="1:7" ht="81">
      <c r="A18" s="2584"/>
      <c r="B18" s="1245" t="s">
        <v>1656</v>
      </c>
      <c r="C18" s="1003" t="str">
        <f>C6</f>
        <v>估价对象周边道路密集程度较好、公共交通通达情况较好、有7、8、19等公共交通，停车便捷程度较好，综合评价交通便捷度较好。</v>
      </c>
      <c r="D18" s="2005"/>
      <c r="E18" s="2581"/>
      <c r="F18" s="1245" t="s">
        <v>1671</v>
      </c>
      <c r="G18" s="1003">
        <f>G7</f>
        <v>0</v>
      </c>
    </row>
    <row r="19" spans="1:7" ht="40.5">
      <c r="A19" s="2584"/>
      <c r="B19" s="1245" t="s">
        <v>1660</v>
      </c>
      <c r="C19" s="3185" t="s">
        <v>3196</v>
      </c>
      <c r="D19" s="2004"/>
      <c r="E19" s="2581"/>
      <c r="F19" s="1229" t="s">
        <v>2546</v>
      </c>
      <c r="G19" s="1003">
        <f>G5</f>
        <v>0</v>
      </c>
    </row>
    <row r="20" spans="1:7" ht="67.5">
      <c r="A20" s="2584"/>
      <c r="B20" s="1245" t="s">
        <v>1661</v>
      </c>
      <c r="C20" s="1244" t="str">
        <f>C9</f>
        <v>区域自然环境：爱民园、于山风景区等；人文环境：孝悌图书馆、福建大剧院；综合评价环境状况较好。</v>
      </c>
      <c r="D20" s="2005"/>
      <c r="E20" s="2581"/>
      <c r="F20" s="1229" t="s">
        <v>2547</v>
      </c>
      <c r="G20" s="1003">
        <f>G6</f>
        <v>0</v>
      </c>
    </row>
    <row r="21" spans="1:7" ht="135">
      <c r="A21" s="2584"/>
      <c r="B21" s="1229" t="s">
        <v>2546</v>
      </c>
      <c r="C21" s="1003" t="str">
        <f>C7</f>
        <v>估价对象所在区域2公里范围内有：银行（邮政银行、中国银行），购物（正大广场购物中心、华翔超市），医院（福州市妇幼保健院、福州第六医院），学校（福州市鼓楼第五中心小学、闽江学院附属中学）等，公共配套设施齐备情况好。</v>
      </c>
      <c r="D21" s="2004"/>
      <c r="E21" s="2581"/>
      <c r="F21" s="1245" t="s">
        <v>1662</v>
      </c>
      <c r="G21" s="3079"/>
    </row>
    <row r="22" spans="1:7" ht="27">
      <c r="A22" s="2584"/>
      <c r="B22" s="1229" t="s">
        <v>2547</v>
      </c>
      <c r="C22" s="1003" t="str">
        <f>C8</f>
        <v>估价对象所在区域基础设施水平达到“六通”。</v>
      </c>
      <c r="D22" s="2004"/>
      <c r="E22" s="2581"/>
      <c r="F22" s="1245" t="s">
        <v>1672</v>
      </c>
      <c r="G22" s="2789"/>
    </row>
    <row r="23" spans="1:7" ht="15" thickBot="1">
      <c r="A23" s="2584"/>
      <c r="B23" s="1245" t="s">
        <v>1662</v>
      </c>
      <c r="C23" s="3079" t="s">
        <v>3001</v>
      </c>
      <c r="E23" s="2582"/>
      <c r="F23" s="1246" t="s">
        <v>1676</v>
      </c>
      <c r="G23" s="3080"/>
    </row>
    <row r="24" spans="1:7" ht="14.25" thickBot="1">
      <c r="A24" s="2585"/>
      <c r="B24" s="1246" t="s">
        <v>1663</v>
      </c>
      <c r="C24" s="1247" t="str">
        <f>C10</f>
        <v>城市支路——龙庭路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5" sqref="D5"/>
    </sheetView>
  </sheetViews>
  <sheetFormatPr defaultColWidth="14.625" defaultRowHeight="13.5"/>
  <cols>
    <col min="1" max="1" width="24.375" customWidth="1"/>
  </cols>
  <sheetData>
    <row r="1" spans="1:9" ht="16.5">
      <c r="A1" s="3040" t="s">
        <v>2844</v>
      </c>
      <c r="B1" s="3040">
        <f>SUM(B14:B23)</f>
        <v>57683.92</v>
      </c>
      <c r="C1" s="3041"/>
      <c r="D1" s="3041"/>
      <c r="E1" s="3041"/>
      <c r="F1" s="3041"/>
    </row>
    <row r="2" spans="1:9" ht="16.5">
      <c r="A2" s="3040" t="s">
        <v>2845</v>
      </c>
      <c r="B2" s="3040">
        <f>SUM(C14:C23)</f>
        <v>17908.099999999999</v>
      </c>
      <c r="C2" s="3041"/>
      <c r="D2" s="3041"/>
      <c r="E2" s="3041"/>
      <c r="F2" s="3041"/>
    </row>
    <row r="3" spans="1:9" ht="16.5">
      <c r="A3" s="3040" t="s">
        <v>2846</v>
      </c>
      <c r="B3" s="3042">
        <f>项目基本情况!D3</f>
        <v>43328</v>
      </c>
      <c r="C3" s="3041"/>
      <c r="D3" s="3041"/>
      <c r="E3" s="3041"/>
      <c r="F3" s="3041"/>
    </row>
    <row r="4" spans="1:9" ht="33">
      <c r="A4" s="3040" t="s">
        <v>2847</v>
      </c>
      <c r="B4" s="3040" t="s">
        <v>2848</v>
      </c>
      <c r="C4" s="3040" t="s">
        <v>2849</v>
      </c>
      <c r="D4" s="3040" t="s">
        <v>2850</v>
      </c>
      <c r="E4" s="3041"/>
      <c r="F4" s="3041"/>
    </row>
    <row r="5" spans="1:9" ht="16.5">
      <c r="A5" s="3040" t="s">
        <v>2851</v>
      </c>
      <c r="B5" s="3040">
        <f ca="1">SUM(D14:D23)</f>
        <v>82720</v>
      </c>
      <c r="C5" s="3040">
        <f ca="1">ROUND(B5*10000/$B$1,0)</f>
        <v>14340</v>
      </c>
      <c r="D5" s="3040">
        <f ca="1">ROUND(B5*10000/$B$2,0)</f>
        <v>46191</v>
      </c>
      <c r="E5" s="3041"/>
      <c r="F5" s="3041"/>
    </row>
    <row r="6" spans="1:9" ht="16.5">
      <c r="A6" s="3040" t="s">
        <v>2852</v>
      </c>
      <c r="B6" s="3040">
        <f ca="1">SUM(G14:G23)</f>
        <v>82720</v>
      </c>
      <c r="C6" s="3040">
        <f t="shared" ref="C6:C8" ca="1" si="0">ROUND(B6*10000/$B$1,0)</f>
        <v>14340</v>
      </c>
      <c r="D6" s="3040">
        <f t="shared" ref="D6:D8" ca="1" si="1">ROUND(B6*10000/$B$2,0)</f>
        <v>46191</v>
      </c>
      <c r="E6" s="3041"/>
      <c r="F6" s="3041"/>
    </row>
    <row r="7" spans="1:9" ht="16.5">
      <c r="A7" s="3040" t="s">
        <v>2853</v>
      </c>
      <c r="B7" s="3040">
        <f>SUM(H14:H23)</f>
        <v>0</v>
      </c>
      <c r="C7" s="3040">
        <f t="shared" si="0"/>
        <v>0</v>
      </c>
      <c r="D7" s="3040">
        <f t="shared" si="1"/>
        <v>0</v>
      </c>
      <c r="E7" s="3041"/>
      <c r="F7" s="3041"/>
    </row>
    <row r="8" spans="1:9" ht="16.5">
      <c r="A8" s="3040" t="s">
        <v>2854</v>
      </c>
      <c r="B8" s="3040">
        <f>SUM(I14:I23)</f>
        <v>0</v>
      </c>
      <c r="C8" s="3040">
        <f t="shared" si="0"/>
        <v>0</v>
      </c>
      <c r="D8" s="3040">
        <f t="shared" si="1"/>
        <v>0</v>
      </c>
      <c r="E8" s="3041"/>
      <c r="F8" s="3041"/>
    </row>
    <row r="9" spans="1:9" ht="16.5">
      <c r="A9" s="3040" t="s">
        <v>2855</v>
      </c>
      <c r="B9" s="3043"/>
      <c r="C9" s="3041"/>
      <c r="D9" s="3041"/>
      <c r="E9" s="3041"/>
      <c r="F9" s="3041"/>
    </row>
    <row r="10" spans="1:9" ht="16.5">
      <c r="A10" s="3040" t="s">
        <v>2856</v>
      </c>
      <c r="B10" s="3043"/>
      <c r="C10" s="3041"/>
      <c r="D10" s="3041"/>
      <c r="E10" s="3041"/>
      <c r="F10" s="3041"/>
    </row>
    <row r="11" spans="1:9" ht="16.5">
      <c r="A11" s="3040" t="s">
        <v>2873</v>
      </c>
      <c r="B11" s="3043"/>
      <c r="C11" s="3041"/>
      <c r="D11" s="3041"/>
      <c r="E11" s="3041"/>
      <c r="F11" s="3041"/>
    </row>
    <row r="12" spans="1:9" ht="16.5">
      <c r="A12" s="3041"/>
      <c r="B12" s="3041"/>
      <c r="C12" s="3041"/>
      <c r="D12" s="3041"/>
      <c r="E12" s="3041"/>
      <c r="F12" s="3041"/>
    </row>
    <row r="13" spans="1:9" ht="33">
      <c r="A13" s="3046" t="s">
        <v>2872</v>
      </c>
      <c r="B13" s="3044" t="s">
        <v>2844</v>
      </c>
      <c r="C13" s="3044" t="s">
        <v>2845</v>
      </c>
      <c r="D13" s="3044" t="s">
        <v>2857</v>
      </c>
      <c r="E13" s="3040" t="s">
        <v>2871</v>
      </c>
      <c r="F13" s="3040" t="s">
        <v>2850</v>
      </c>
      <c r="G13" s="3044" t="s">
        <v>2858</v>
      </c>
      <c r="H13" s="3044" t="s">
        <v>2859</v>
      </c>
      <c r="I13" s="3044" t="s">
        <v>2860</v>
      </c>
    </row>
    <row r="14" spans="1:9" ht="16.5">
      <c r="A14" s="3047" t="s">
        <v>2870</v>
      </c>
      <c r="B14" s="3044">
        <f>结果表!L38</f>
        <v>57683.92</v>
      </c>
      <c r="C14" s="3044">
        <f>结果表!K38</f>
        <v>17908.099999999999</v>
      </c>
      <c r="D14" s="3044">
        <f ca="1">结果表!C42</f>
        <v>82720</v>
      </c>
      <c r="E14" s="3044">
        <f ca="1">ROUND(D14*10000/B14,0)</f>
        <v>14340</v>
      </c>
      <c r="F14" s="3044">
        <f ca="1">ROUND(D14*10000/C14,0)</f>
        <v>46191</v>
      </c>
      <c r="G14" s="3044">
        <f ca="1">结果表!C44</f>
        <v>82720</v>
      </c>
      <c r="H14" s="3044" t="str">
        <f>结果表!C45</f>
        <v>——</v>
      </c>
      <c r="I14" s="3044" t="str">
        <f>结果表!C46</f>
        <v>——</v>
      </c>
    </row>
    <row r="15" spans="1:9" ht="16.5">
      <c r="A15" s="3047" t="s">
        <v>2861</v>
      </c>
      <c r="B15" s="3048"/>
      <c r="C15" s="3048"/>
      <c r="D15" s="3048"/>
      <c r="E15" s="3044" t="e">
        <f t="shared" ref="E15:E23" si="2">ROUND(D15*10000/B15,0)</f>
        <v>#DIV/0!</v>
      </c>
      <c r="F15" s="3044" t="e">
        <f t="shared" ref="F15:F23" si="3">ROUND(D15*10000/C15,0)</f>
        <v>#DIV/0!</v>
      </c>
      <c r="G15" s="3045"/>
      <c r="H15" s="3045"/>
      <c r="I15" s="3048"/>
    </row>
    <row r="16" spans="1:9" ht="16.5">
      <c r="A16" s="3047" t="s">
        <v>2862</v>
      </c>
      <c r="B16" s="3048"/>
      <c r="C16" s="3048"/>
      <c r="D16" s="3048"/>
      <c r="E16" s="3044" t="e">
        <f t="shared" si="2"/>
        <v>#DIV/0!</v>
      </c>
      <c r="F16" s="3044" t="e">
        <f t="shared" si="3"/>
        <v>#DIV/0!</v>
      </c>
      <c r="G16" s="3045"/>
      <c r="H16" s="3045"/>
      <c r="I16" s="3048"/>
    </row>
    <row r="17" spans="1:9" ht="16.5">
      <c r="A17" s="3047" t="s">
        <v>2863</v>
      </c>
      <c r="B17" s="3048"/>
      <c r="C17" s="3048"/>
      <c r="D17" s="3048"/>
      <c r="E17" s="3044" t="e">
        <f t="shared" si="2"/>
        <v>#DIV/0!</v>
      </c>
      <c r="F17" s="3044" t="e">
        <f t="shared" si="3"/>
        <v>#DIV/0!</v>
      </c>
      <c r="G17" s="3045"/>
      <c r="H17" s="3045"/>
      <c r="I17" s="3048"/>
    </row>
    <row r="18" spans="1:9" ht="16.5">
      <c r="A18" s="3047" t="s">
        <v>2864</v>
      </c>
      <c r="B18" s="3048"/>
      <c r="C18" s="3048"/>
      <c r="D18" s="3048"/>
      <c r="E18" s="3044" t="e">
        <f t="shared" si="2"/>
        <v>#DIV/0!</v>
      </c>
      <c r="F18" s="3044" t="e">
        <f t="shared" si="3"/>
        <v>#DIV/0!</v>
      </c>
      <c r="G18" s="3048"/>
      <c r="H18" s="3048"/>
      <c r="I18" s="3048"/>
    </row>
    <row r="19" spans="1:9" ht="16.5">
      <c r="A19" s="3047" t="s">
        <v>2865</v>
      </c>
      <c r="B19" s="3048"/>
      <c r="C19" s="3048"/>
      <c r="D19" s="3048"/>
      <c r="E19" s="3044" t="e">
        <f t="shared" si="2"/>
        <v>#DIV/0!</v>
      </c>
      <c r="F19" s="3044" t="e">
        <f t="shared" si="3"/>
        <v>#DIV/0!</v>
      </c>
      <c r="G19" s="3048"/>
      <c r="H19" s="3048"/>
      <c r="I19" s="3048"/>
    </row>
    <row r="20" spans="1:9" ht="16.5">
      <c r="A20" s="3047" t="s">
        <v>2866</v>
      </c>
      <c r="B20" s="3048"/>
      <c r="C20" s="3048"/>
      <c r="D20" s="3048"/>
      <c r="E20" s="3044" t="e">
        <f t="shared" si="2"/>
        <v>#DIV/0!</v>
      </c>
      <c r="F20" s="3044" t="e">
        <f t="shared" si="3"/>
        <v>#DIV/0!</v>
      </c>
      <c r="G20" s="3048"/>
      <c r="H20" s="3048"/>
      <c r="I20" s="3048"/>
    </row>
    <row r="21" spans="1:9" ht="16.5">
      <c r="A21" s="3047" t="s">
        <v>2867</v>
      </c>
      <c r="B21" s="3048"/>
      <c r="C21" s="3048"/>
      <c r="D21" s="3048"/>
      <c r="E21" s="3044" t="e">
        <f t="shared" si="2"/>
        <v>#DIV/0!</v>
      </c>
      <c r="F21" s="3044" t="e">
        <f t="shared" si="3"/>
        <v>#DIV/0!</v>
      </c>
      <c r="G21" s="3048"/>
      <c r="H21" s="3048"/>
      <c r="I21" s="3048"/>
    </row>
    <row r="22" spans="1:9" ht="16.5">
      <c r="A22" s="3047" t="s">
        <v>2868</v>
      </c>
      <c r="B22" s="3048"/>
      <c r="C22" s="3048"/>
      <c r="D22" s="3048"/>
      <c r="E22" s="3044" t="e">
        <f t="shared" si="2"/>
        <v>#DIV/0!</v>
      </c>
      <c r="F22" s="3044" t="e">
        <f t="shared" si="3"/>
        <v>#DIV/0!</v>
      </c>
      <c r="G22" s="3048"/>
      <c r="H22" s="3048"/>
      <c r="I22" s="3048"/>
    </row>
    <row r="23" spans="1:9" ht="16.5">
      <c r="A23" s="3047" t="s">
        <v>2869</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19" sqref="G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1" t="s">
        <v>2056</v>
      </c>
      <c r="B1" s="1772"/>
      <c r="C1" s="1800" t="s">
        <v>2057</v>
      </c>
      <c r="D1" s="1801" t="s">
        <v>3200</v>
      </c>
      <c r="E1" s="1800" t="s">
        <v>2058</v>
      </c>
      <c r="F1" s="1802" t="s">
        <v>3201</v>
      </c>
      <c r="G1" s="310"/>
      <c r="H1" s="310"/>
      <c r="I1" s="310"/>
      <c r="J1" s="2024"/>
      <c r="K1" s="2024"/>
      <c r="L1" s="2024"/>
      <c r="M1" s="2024"/>
      <c r="N1" s="2024"/>
      <c r="O1" s="2024"/>
      <c r="P1" s="2024"/>
      <c r="Q1" s="2024"/>
      <c r="R1" s="2024"/>
      <c r="S1" s="2024"/>
      <c r="T1" s="2024"/>
      <c r="U1" s="2024"/>
      <c r="V1" s="2024"/>
    </row>
    <row r="2" spans="1:22" ht="21.75" customHeight="1" thickBot="1">
      <c r="A2" s="3357" t="str">
        <f>项目基本情况!K2</f>
        <v>福建省福州市鼓楼区五一中路以东，龙庭路南北侧，五一新城地块出让国有建设用地使用权</v>
      </c>
      <c r="B2" s="3358"/>
      <c r="C2" s="3359"/>
      <c r="D2" s="3359"/>
      <c r="E2" s="3359"/>
      <c r="F2" s="3359"/>
      <c r="G2" s="3358"/>
      <c r="H2" s="3358"/>
      <c r="I2" s="3360"/>
      <c r="J2" s="2025"/>
      <c r="K2" s="2024"/>
      <c r="L2" s="2024"/>
      <c r="M2" s="2024"/>
      <c r="N2" s="2024"/>
      <c r="O2" s="2024"/>
      <c r="P2" s="2024"/>
      <c r="Q2" s="2024"/>
      <c r="R2" s="2024"/>
      <c r="S2" s="2024"/>
      <c r="T2" s="2024"/>
      <c r="U2" s="2024"/>
      <c r="V2" s="2024"/>
    </row>
    <row r="3" spans="1:22" ht="14.25">
      <c r="A3" s="3349" t="s">
        <v>298</v>
      </c>
      <c r="B3" s="3350"/>
      <c r="C3" s="3350"/>
      <c r="D3" s="3350"/>
      <c r="E3" s="3350"/>
      <c r="F3" s="3350"/>
      <c r="G3" s="3350"/>
      <c r="H3" s="3350"/>
      <c r="I3" s="3350"/>
      <c r="J3" s="2025"/>
      <c r="K3" s="2024"/>
      <c r="L3" s="2024"/>
      <c r="M3" s="2024"/>
      <c r="N3" s="2024"/>
      <c r="O3" s="2024"/>
      <c r="P3" s="2024"/>
      <c r="Q3" s="2024"/>
      <c r="R3" s="2024"/>
      <c r="S3" s="2024"/>
      <c r="T3" s="2024"/>
      <c r="U3" s="2024"/>
      <c r="V3" s="2024"/>
    </row>
    <row r="4" spans="1:22" ht="14.25">
      <c r="A4" s="257" t="s">
        <v>299</v>
      </c>
      <c r="B4" s="258" t="s">
        <v>300</v>
      </c>
      <c r="C4" s="259" t="s">
        <v>3202</v>
      </c>
      <c r="D4" s="259" t="s">
        <v>3203</v>
      </c>
      <c r="E4" s="3318" t="s">
        <v>301</v>
      </c>
      <c r="F4" s="3319"/>
      <c r="G4" s="3319"/>
      <c r="H4" s="3319"/>
      <c r="I4" s="3352"/>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7" t="s">
        <v>302</v>
      </c>
      <c r="B5" s="3343">
        <v>25</v>
      </c>
      <c r="C5" s="3341"/>
      <c r="D5" s="3348"/>
      <c r="E5" s="260" t="s">
        <v>303</v>
      </c>
      <c r="F5" s="261"/>
      <c r="G5" s="261"/>
      <c r="H5" s="261"/>
      <c r="I5" s="262"/>
      <c r="J5" s="2025"/>
      <c r="K5" s="2024"/>
      <c r="L5" s="2024"/>
      <c r="M5" s="2024"/>
      <c r="N5" s="2024"/>
      <c r="O5" s="2024"/>
      <c r="P5" s="2024"/>
      <c r="Q5" s="2024"/>
      <c r="R5" s="2024"/>
      <c r="S5" s="2024"/>
      <c r="T5" s="2024"/>
      <c r="U5" s="2024"/>
      <c r="V5" s="2024"/>
    </row>
    <row r="6" spans="1:22" ht="14.25">
      <c r="A6" s="3317"/>
      <c r="B6" s="3343"/>
      <c r="C6" s="3351"/>
      <c r="D6" s="3348"/>
      <c r="E6" s="260" t="s">
        <v>304</v>
      </c>
      <c r="F6" s="261"/>
      <c r="G6" s="261"/>
      <c r="H6" s="261"/>
      <c r="I6" s="262"/>
      <c r="J6" s="2025"/>
      <c r="K6" s="2024"/>
      <c r="L6" s="2024"/>
      <c r="M6" s="2024"/>
      <c r="N6" s="2024"/>
      <c r="O6" s="2024"/>
      <c r="P6" s="2024"/>
      <c r="Q6" s="2024"/>
      <c r="R6" s="2024"/>
      <c r="S6" s="2024"/>
      <c r="T6" s="2024"/>
      <c r="U6" s="2024"/>
      <c r="V6" s="2024"/>
    </row>
    <row r="7" spans="1:22" ht="14.25">
      <c r="A7" s="3317"/>
      <c r="B7" s="3343"/>
      <c r="C7" s="3342"/>
      <c r="D7" s="3348"/>
      <c r="E7" s="260" t="s">
        <v>305</v>
      </c>
      <c r="F7" s="261"/>
      <c r="G7" s="261"/>
      <c r="H7" s="261"/>
      <c r="I7" s="262"/>
      <c r="J7" s="2025"/>
      <c r="K7" s="2024"/>
      <c r="L7" s="2024"/>
      <c r="M7" s="2024"/>
      <c r="N7" s="2024"/>
      <c r="O7" s="2024"/>
      <c r="P7" s="2024"/>
      <c r="Q7" s="2024"/>
      <c r="R7" s="2024"/>
      <c r="S7" s="2024"/>
      <c r="T7" s="2024"/>
      <c r="U7" s="2024"/>
      <c r="V7" s="2024"/>
    </row>
    <row r="8" spans="1:22" ht="14.25">
      <c r="A8" s="3317" t="s">
        <v>306</v>
      </c>
      <c r="B8" s="3343">
        <v>15</v>
      </c>
      <c r="C8" s="3341"/>
      <c r="D8" s="3348"/>
      <c r="E8" s="260" t="s">
        <v>307</v>
      </c>
      <c r="F8" s="261"/>
      <c r="G8" s="261"/>
      <c r="H8" s="261"/>
      <c r="I8" s="262"/>
      <c r="J8" s="2025"/>
      <c r="K8" s="2024"/>
      <c r="L8" s="2024"/>
      <c r="M8" s="2024"/>
      <c r="N8" s="2024"/>
      <c r="O8" s="2024"/>
      <c r="P8" s="2024"/>
      <c r="Q8" s="2024"/>
      <c r="R8" s="2024"/>
      <c r="S8" s="2024"/>
      <c r="T8" s="2024"/>
      <c r="U8" s="2024"/>
      <c r="V8" s="2024"/>
    </row>
    <row r="9" spans="1:22" ht="14.25">
      <c r="A9" s="3317"/>
      <c r="B9" s="3343"/>
      <c r="C9" s="3342"/>
      <c r="D9" s="3348"/>
      <c r="E9" s="260" t="s">
        <v>308</v>
      </c>
      <c r="F9" s="261"/>
      <c r="G9" s="261"/>
      <c r="H9" s="261"/>
      <c r="I9" s="262"/>
      <c r="J9" s="2025"/>
      <c r="K9" s="2024"/>
      <c r="L9" s="2024"/>
      <c r="M9" s="2024"/>
      <c r="N9" s="2024"/>
      <c r="O9" s="2024"/>
      <c r="P9" s="2024"/>
      <c r="Q9" s="2024"/>
      <c r="R9" s="2024"/>
      <c r="S9" s="2024"/>
      <c r="T9" s="2024"/>
      <c r="U9" s="2024"/>
      <c r="V9" s="2024"/>
    </row>
    <row r="10" spans="1:22" ht="14.25">
      <c r="A10" s="3317" t="s">
        <v>309</v>
      </c>
      <c r="B10" s="3343">
        <v>15</v>
      </c>
      <c r="C10" s="3341"/>
      <c r="D10" s="3348"/>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7"/>
      <c r="B11" s="3343"/>
      <c r="C11" s="3342"/>
      <c r="D11" s="3348"/>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7" t="s">
        <v>312</v>
      </c>
      <c r="B12" s="3343">
        <v>15</v>
      </c>
      <c r="C12" s="3341"/>
      <c r="D12" s="3348"/>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7"/>
      <c r="B13" s="3343"/>
      <c r="C13" s="3342"/>
      <c r="D13" s="3348"/>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7" t="s">
        <v>315</v>
      </c>
      <c r="B14" s="3343">
        <v>30</v>
      </c>
      <c r="C14" s="3344">
        <v>6</v>
      </c>
      <c r="D14" s="3347">
        <v>4</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7"/>
      <c r="B15" s="3343"/>
      <c r="C15" s="3345"/>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7"/>
      <c r="B16" s="3343"/>
      <c r="C16" s="3346"/>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6</v>
      </c>
      <c r="D17" s="264">
        <f>SUM(D5:D16)</f>
        <v>4</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0.6</v>
      </c>
      <c r="D18" s="266">
        <f>1-C18</f>
        <v>0.4</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70842</v>
      </c>
      <c r="D19" s="270">
        <f ca="1">SUMIF(INDIRECT("'"&amp;D4&amp;"'"&amp;"!A:A"),结果表!B19,INDIRECT("'"&amp;D4&amp;"'"&amp;"!B:B"))</f>
        <v>100536</v>
      </c>
      <c r="E19" s="267" t="s">
        <v>323</v>
      </c>
      <c r="F19" s="268" t="s">
        <v>322</v>
      </c>
      <c r="G19" s="271">
        <f ca="1">ROUND(C19*$C$18+D19*$D$18,0)</f>
        <v>82720</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12281</v>
      </c>
      <c r="D20" s="276">
        <f ca="1">SUMIF(INDIRECT("'"&amp;D4&amp;"'"&amp;"!A:A"),结果表!B20,INDIRECT("'"&amp;D4&amp;"'"&amp;"!B:B"))</f>
        <v>17429</v>
      </c>
      <c r="E20" s="273"/>
      <c r="F20" s="274" t="s">
        <v>325</v>
      </c>
      <c r="G20" s="277">
        <f ca="1">ROUND(C20*$C$18+D20*$D$18,0)</f>
        <v>14340</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39559</v>
      </c>
      <c r="D21" s="151">
        <f ca="1">SUMIF(INDIRECT("'"&amp;D4&amp;"'"&amp;"!A:A"),结果表!B21,INDIRECT("'"&amp;D4&amp;"'"&amp;"!B:B"))</f>
        <v>56140</v>
      </c>
      <c r="E21" s="273"/>
      <c r="F21" s="279" t="s">
        <v>327</v>
      </c>
      <c r="G21" s="281">
        <f ca="1">ROUND(C21*$C$18+D21*$D$18,0)</f>
        <v>46191</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0.41915812653510631</v>
      </c>
      <c r="E22" s="283"/>
      <c r="F22" s="284"/>
      <c r="G22" s="285">
        <f ca="1">ROUND(G19/('数据-汇总表'!D3/666.67),0)</f>
        <v>3079</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3"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4"/>
      <c r="B25" s="1319" t="s">
        <v>331</v>
      </c>
      <c r="C25" s="289">
        <f>IF(B30=0,0,C30)</f>
        <v>0</v>
      </c>
      <c r="D25" s="290"/>
      <c r="E25" s="310"/>
      <c r="F25" s="310"/>
      <c r="G25" s="310"/>
      <c r="H25" s="310"/>
      <c r="I25" s="310"/>
      <c r="J25" s="2024"/>
      <c r="K25" s="1253" t="str">
        <f ca="1">项目基本情况!B16&amp;"国有建设用地使用权价格："&amp;O38&amp;"万元"</f>
        <v>出让国有建设用地使用权价格：82720万元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大写金额：人民币捌亿贰仟柒佰贰拾万元整</v>
      </c>
      <c r="L26" s="1250"/>
      <c r="M26" s="1250"/>
      <c r="N26" s="1250"/>
      <c r="O26" s="1249"/>
      <c r="P26" s="2024"/>
      <c r="Q26" s="2024"/>
      <c r="R26" s="2024"/>
      <c r="S26" s="2024"/>
      <c r="T26" s="2024"/>
      <c r="U26" s="2024"/>
      <c r="V26" s="2024"/>
      <c r="W26" s="291"/>
      <c r="X26" s="291"/>
      <c r="Y26" s="291"/>
      <c r="Z26" s="291"/>
    </row>
    <row r="27" spans="1:26" ht="18">
      <c r="A27" s="292">
        <f ca="1">ROUND(G19/'数据-汇总表'!F27*10000,0)</f>
        <v>30286</v>
      </c>
      <c r="B27" s="293"/>
      <c r="C27" s="293"/>
      <c r="D27" s="294"/>
      <c r="E27" s="310"/>
      <c r="F27" s="310"/>
      <c r="G27" s="310"/>
      <c r="H27" s="310"/>
      <c r="I27" s="310"/>
      <c r="J27" s="2024"/>
      <c r="K27" s="1256" t="str">
        <f ca="1">"单位面积地价："&amp;M38&amp;"元/平方米"</f>
        <v>单位面积地价：46191元/平方米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楼面地价：14340元/平方米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抵押价格：82720万元</v>
      </c>
      <c r="L29" s="1250"/>
      <c r="M29" s="1250"/>
      <c r="N29" s="1250"/>
      <c r="O29" s="1249"/>
      <c r="P29" s="2024"/>
      <c r="V29" s="2024"/>
    </row>
    <row r="30" spans="1:26" ht="18.75" thickBot="1">
      <c r="A30" s="3122" t="s">
        <v>336</v>
      </c>
      <c r="B30" s="308"/>
      <c r="C30" s="308"/>
      <c r="D30" s="309"/>
      <c r="E30" s="3123" t="s">
        <v>2959</v>
      </c>
      <c r="F30" s="310"/>
      <c r="G30" s="310"/>
      <c r="H30" s="310"/>
      <c r="I30" s="310"/>
      <c r="J30" s="2024"/>
      <c r="K30" s="1256" t="str">
        <f ca="1">IF(K29="——","——","大写金额：人民币"&amp;NUMBERSTRING(INT(O39*10000),2)&amp;"元整")</f>
        <v>大写金额：人民币捌亿贰仟柒佰贰拾万元整</v>
      </c>
      <c r="L30" s="1250"/>
      <c r="M30" s="1250"/>
      <c r="N30" s="1250"/>
      <c r="O30" s="1249"/>
      <c r="P30" s="2024"/>
      <c r="V30" s="2024"/>
    </row>
    <row r="31" spans="1:26" ht="24" customHeight="1" thickBot="1">
      <c r="A31" s="310"/>
      <c r="B31" s="310"/>
      <c r="C31" s="310"/>
      <c r="D31" s="310"/>
      <c r="E31" s="310"/>
      <c r="F31" s="310"/>
      <c r="G31" s="310"/>
      <c r="H31" s="310"/>
      <c r="I31" s="310"/>
      <c r="J31" s="2024"/>
      <c r="K31" s="2464" t="str">
        <f>IF(项目基本情况!E8="抵押价格","——","抵押担保权已注销时的抵押价格："&amp;O40&amp;"万元")</f>
        <v>——</v>
      </c>
      <c r="L31" s="2460"/>
      <c r="M31" s="2460"/>
      <c r="N31" s="2460"/>
      <c r="O31" s="2461"/>
      <c r="P31" s="2024"/>
      <c r="V31" s="2024"/>
    </row>
    <row r="32" spans="1:26" ht="18.75" thickBot="1">
      <c r="A32" s="267" t="s">
        <v>337</v>
      </c>
      <c r="B32" s="1378" t="s">
        <v>1689</v>
      </c>
      <c r="C32" s="1379">
        <f ca="1">G19-C24</f>
        <v>82720</v>
      </c>
      <c r="D32" s="1380" t="s">
        <v>1690</v>
      </c>
      <c r="E32" s="310"/>
      <c r="F32" s="310"/>
      <c r="G32" s="310"/>
      <c r="H32" s="310"/>
      <c r="I32" s="310"/>
      <c r="J32" s="2024"/>
      <c r="K32" s="2459" t="str">
        <f>IF(K31="——","——","大写金额：人民币"&amp;NUMBERSTRING(INT(O40*10000),2)&amp;"元整")</f>
        <v>——</v>
      </c>
      <c r="L32" s="2462"/>
      <c r="M32" s="2462"/>
      <c r="N32" s="2462"/>
      <c r="O32" s="2463"/>
      <c r="P32" s="2024"/>
      <c r="V32" s="2024"/>
    </row>
    <row r="33" spans="1:26" ht="18.75" thickBot="1">
      <c r="A33" s="297" t="s">
        <v>340</v>
      </c>
      <c r="B33" s="1381" t="s">
        <v>1691</v>
      </c>
      <c r="C33" s="263">
        <f ca="1">ROUND(C32*10000/'数据-汇总表'!E3,0)</f>
        <v>14340</v>
      </c>
      <c r="D33" s="1382" t="s">
        <v>1692</v>
      </c>
      <c r="E33" s="3323" t="s">
        <v>338</v>
      </c>
      <c r="F33" s="295" t="s">
        <v>339</v>
      </c>
      <c r="G33" s="296"/>
      <c r="H33" s="978"/>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1693</v>
      </c>
      <c r="C34" s="263">
        <f ca="1">ROUND(C32*10000/'数据-汇总表'!D3,0)</f>
        <v>46191</v>
      </c>
      <c r="D34" s="1384" t="s">
        <v>1692</v>
      </c>
      <c r="E34" s="3368"/>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3079</v>
      </c>
      <c r="D35" s="1387" t="s">
        <v>1694</v>
      </c>
      <c r="E35" s="3369"/>
      <c r="F35" s="300" t="s">
        <v>342</v>
      </c>
      <c r="G35" s="980"/>
      <c r="H35" s="979" t="s">
        <v>343</v>
      </c>
      <c r="I35" s="310"/>
      <c r="J35" s="2024"/>
      <c r="K35" s="3338" t="s">
        <v>350</v>
      </c>
      <c r="L35" s="3338" t="s">
        <v>351</v>
      </c>
      <c r="M35" s="1262" t="s">
        <v>352</v>
      </c>
      <c r="N35" s="3338" t="s">
        <v>353</v>
      </c>
      <c r="O35" s="3338" t="s">
        <v>354</v>
      </c>
      <c r="P35" s="2024"/>
      <c r="V35" s="2024"/>
    </row>
    <row r="36" spans="1:26" ht="16.5" customHeight="1">
      <c r="A36" s="302" t="s">
        <v>344</v>
      </c>
      <c r="B36" s="303" t="s">
        <v>333</v>
      </c>
      <c r="C36" s="304" t="s">
        <v>345</v>
      </c>
      <c r="D36" s="304" t="s">
        <v>346</v>
      </c>
      <c r="E36" s="305" t="s">
        <v>347</v>
      </c>
      <c r="F36" s="310"/>
      <c r="G36" s="310"/>
      <c r="H36" s="310"/>
      <c r="I36" s="310"/>
      <c r="J36" s="2026"/>
      <c r="K36" s="3339"/>
      <c r="L36" s="3339"/>
      <c r="M36" s="1264" t="s">
        <v>355</v>
      </c>
      <c r="N36" s="3339"/>
      <c r="O36" s="3339"/>
      <c r="P36" s="2024"/>
      <c r="V36" s="2024"/>
    </row>
    <row r="37" spans="1:26" ht="16.5" customHeight="1" thickBot="1">
      <c r="A37" s="1258" t="s">
        <v>348</v>
      </c>
      <c r="B37" s="306"/>
      <c r="C37" s="293"/>
      <c r="D37" s="293"/>
      <c r="E37" s="294"/>
      <c r="F37" s="310"/>
      <c r="G37" s="310"/>
      <c r="H37" s="310"/>
      <c r="I37" s="310"/>
      <c r="J37" s="2026"/>
      <c r="K37" s="3340"/>
      <c r="L37" s="3340"/>
      <c r="M37" s="1265"/>
      <c r="N37" s="3340"/>
      <c r="O37" s="3340"/>
      <c r="P37" s="2024"/>
      <c r="V37" s="2024"/>
    </row>
    <row r="38" spans="1:26" ht="16.5" customHeight="1" thickBot="1">
      <c r="A38" s="1258" t="s">
        <v>349</v>
      </c>
      <c r="B38" s="306"/>
      <c r="C38" s="293"/>
      <c r="D38" s="293"/>
      <c r="E38" s="294"/>
      <c r="F38" s="310"/>
      <c r="G38" s="310"/>
      <c r="H38" s="310"/>
      <c r="I38" s="310"/>
      <c r="J38" s="2026"/>
      <c r="K38" s="1266">
        <f>'数据-汇总表'!D3</f>
        <v>17908.099999999999</v>
      </c>
      <c r="L38" s="1267">
        <f>'数据-汇总表'!E3</f>
        <v>57683.92</v>
      </c>
      <c r="M38" s="1267">
        <f ca="1">C34</f>
        <v>46191</v>
      </c>
      <c r="N38" s="1267">
        <f ca="1">C33</f>
        <v>14340</v>
      </c>
      <c r="O38" s="1268">
        <f ca="1">C32</f>
        <v>82720</v>
      </c>
      <c r="P38" s="2024"/>
      <c r="V38" s="2024"/>
    </row>
    <row r="39" spans="1:26" ht="16.5" customHeight="1" thickBot="1">
      <c r="A39" s="1263"/>
      <c r="B39" s="307"/>
      <c r="C39" s="308"/>
      <c r="D39" s="308"/>
      <c r="E39" s="309"/>
      <c r="F39" s="310"/>
      <c r="G39" s="310"/>
      <c r="H39" s="310"/>
      <c r="I39" s="310"/>
      <c r="J39" s="2026"/>
      <c r="K39" s="3387" t="str">
        <f>MID(A44,3,LEN(A44)-2)</f>
        <v>抵押价格</v>
      </c>
      <c r="L39" s="3388"/>
      <c r="M39" s="3388"/>
      <c r="N39" s="3389"/>
      <c r="O39" s="1389">
        <f ca="1">C44</f>
        <v>82720</v>
      </c>
      <c r="P39" s="2024"/>
      <c r="V39" s="2024"/>
    </row>
    <row r="40" spans="1:26" ht="19.5" thickBot="1">
      <c r="A40" s="104" t="s">
        <v>873</v>
      </c>
      <c r="B40" s="310"/>
      <c r="C40" s="310"/>
      <c r="D40" s="310"/>
      <c r="E40" s="310"/>
      <c r="F40" s="310"/>
      <c r="G40" s="310"/>
      <c r="H40" s="310"/>
      <c r="I40" s="310"/>
      <c r="J40" s="2026"/>
      <c r="K40" s="3387" t="str">
        <f t="shared" ref="K40:K41" si="0">MID(A45,3,LEN(A45)-2)</f>
        <v/>
      </c>
      <c r="L40" s="3388"/>
      <c r="M40" s="3388"/>
      <c r="N40" s="3389"/>
      <c r="O40" s="1389" t="str">
        <f>C45</f>
        <v>——</v>
      </c>
      <c r="P40" s="2024"/>
      <c r="V40" s="2024"/>
    </row>
    <row r="41" spans="1:26" ht="16.5" thickBot="1">
      <c r="A41" s="311" t="s">
        <v>356</v>
      </c>
      <c r="B41" s="312"/>
      <c r="C41" s="313" t="s">
        <v>357</v>
      </c>
      <c r="D41" s="314" t="s">
        <v>358</v>
      </c>
      <c r="E41" s="314" t="s">
        <v>359</v>
      </c>
      <c r="F41" s="315" t="s">
        <v>360</v>
      </c>
      <c r="G41" s="310"/>
      <c r="H41" s="310"/>
      <c r="I41" s="310"/>
      <c r="J41" s="2026"/>
      <c r="K41" s="3387" t="str">
        <f t="shared" si="0"/>
        <v/>
      </c>
      <c r="L41" s="3388"/>
      <c r="M41" s="3388"/>
      <c r="N41" s="3389"/>
      <c r="O41" s="1389" t="str">
        <f>C46</f>
        <v>——</v>
      </c>
      <c r="P41" s="2024"/>
      <c r="V41" s="2024"/>
    </row>
    <row r="42" spans="1:26" ht="29.25">
      <c r="A42" s="3325" t="s">
        <v>2068</v>
      </c>
      <c r="B42" s="3326"/>
      <c r="C42" s="263">
        <f ca="1">C32</f>
        <v>82720</v>
      </c>
      <c r="D42" s="316">
        <f ca="1">C33</f>
        <v>14340</v>
      </c>
      <c r="E42" s="316">
        <f ca="1">C34</f>
        <v>46191</v>
      </c>
      <c r="F42" s="317">
        <f ca="1">C35</f>
        <v>3079</v>
      </c>
      <c r="G42" s="310"/>
      <c r="H42" s="310"/>
      <c r="I42" s="318"/>
      <c r="J42" s="2026"/>
      <c r="K42" s="1269" t="s">
        <v>361</v>
      </c>
      <c r="L42" s="2043" t="s">
        <v>362</v>
      </c>
      <c r="M42" s="1270" t="s">
        <v>363</v>
      </c>
      <c r="N42" s="2044" t="s">
        <v>364</v>
      </c>
      <c r="O42" s="2045" t="s">
        <v>365</v>
      </c>
      <c r="P42" s="2024"/>
      <c r="V42" s="2024"/>
    </row>
    <row r="43" spans="1:26" ht="30">
      <c r="A43" s="3336" t="s">
        <v>2730</v>
      </c>
      <c r="B43" s="3337"/>
      <c r="C43" s="263">
        <f>IF(H33="正常操作",G33+G34+G35,G34+G35)</f>
        <v>0</v>
      </c>
      <c r="D43" s="316" t="s">
        <v>43</v>
      </c>
      <c r="E43" s="316" t="s">
        <v>44</v>
      </c>
      <c r="F43" s="317" t="s">
        <v>44</v>
      </c>
      <c r="G43" s="2862" t="s">
        <v>952</v>
      </c>
      <c r="H43" s="310"/>
      <c r="I43" s="318"/>
      <c r="J43" s="2026"/>
      <c r="K43" s="1271" t="str">
        <f>C4</f>
        <v>比较法-住宅、综合</v>
      </c>
      <c r="L43" s="1272">
        <f ca="1">IF(L42="估价结果/万元",C19,C20)</f>
        <v>70842</v>
      </c>
      <c r="M43" s="1273">
        <f>C18</f>
        <v>0.6</v>
      </c>
      <c r="N43" s="1274">
        <f ca="1">IF(N42="测算结果/万元",G19,G20)</f>
        <v>82720</v>
      </c>
      <c r="O43" s="1275">
        <f ca="1">IF(O42="最终结果/万元",C32,C33)</f>
        <v>82720</v>
      </c>
      <c r="P43" s="2024"/>
      <c r="V43" s="2024"/>
    </row>
    <row r="44" spans="1:26" ht="30.75" thickBot="1">
      <c r="A44" s="3325" t="str">
        <f>IF(OR(项目基本情况!E8="抵押价格",项目基本情况!E8="已注销及未注销"),"3.抵押价格","——")</f>
        <v>3.抵押价格</v>
      </c>
      <c r="B44" s="3326"/>
      <c r="C44" s="263">
        <f ca="1">IF(A44="——","——",C42-C43)</f>
        <v>82720</v>
      </c>
      <c r="D44" s="316">
        <f ca="1">ROUND(C44*10000/'数据-汇总表'!E3,0)</f>
        <v>14340</v>
      </c>
      <c r="E44" s="316">
        <f ca="1">ROUND(C44*10000/'数据-汇总表'!D3,0)</f>
        <v>46191</v>
      </c>
      <c r="F44" s="317">
        <f ca="1">ROUND(C44/('数据-汇总表'!D3/666.67),0)</f>
        <v>3079</v>
      </c>
      <c r="G44" s="310"/>
      <c r="H44" s="310"/>
      <c r="I44" s="318"/>
      <c r="J44" s="2026"/>
      <c r="K44" s="1276" t="str">
        <f>D4</f>
        <v>剩余法-待开发</v>
      </c>
      <c r="L44" s="1277">
        <f ca="1">IF(L42="估价结果/万元",D19,D20)</f>
        <v>100536</v>
      </c>
      <c r="M44" s="1278">
        <f>D18</f>
        <v>0.4</v>
      </c>
      <c r="N44" s="1279"/>
      <c r="O44" s="1280"/>
      <c r="P44" s="2024"/>
      <c r="V44" s="2024"/>
    </row>
    <row r="45" spans="1:26" ht="15">
      <c r="A45" s="3331" t="str">
        <f>IF(项目基本情况!E8="已注销及未注销","4.抵押担保权已注销时的抵押价格",IF(项目基本情况!E8="已注销","3.抵押担保权已注销时的抵押价格","——"))</f>
        <v>——</v>
      </c>
      <c r="B45" s="3332"/>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7" t="str">
        <f>IF(项目基本情况!E9="抵押净值",IF(A45="——","4.抵押净值","5.抵押净值"),"——")</f>
        <v>——</v>
      </c>
      <c r="B46" s="3328"/>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366</v>
      </c>
      <c r="B47" s="1281"/>
      <c r="C47" s="321" t="s">
        <v>367</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368</v>
      </c>
      <c r="G53" s="336"/>
      <c r="H53" s="336"/>
      <c r="I53" s="337" t="s">
        <v>369</v>
      </c>
      <c r="J53" s="2027"/>
      <c r="K53" s="2024"/>
      <c r="L53" s="2024"/>
      <c r="M53" s="2024"/>
      <c r="N53" s="2024"/>
      <c r="O53" s="2024"/>
      <c r="P53" s="2024"/>
      <c r="Q53" s="2024"/>
      <c r="R53" s="2024"/>
      <c r="S53" s="2024"/>
      <c r="T53" s="2024"/>
      <c r="U53" s="2024"/>
      <c r="V53" s="2024"/>
    </row>
    <row r="54" spans="1:22" ht="12.75">
      <c r="A54" s="256"/>
      <c r="B54" s="338" t="s">
        <v>370</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371</v>
      </c>
      <c r="J56" s="2027"/>
      <c r="K56" s="2024"/>
      <c r="L56" s="2024"/>
      <c r="M56" s="2024"/>
      <c r="N56" s="2024"/>
      <c r="O56" s="2024"/>
      <c r="P56" s="2024"/>
      <c r="Q56" s="2024"/>
      <c r="R56" s="2024"/>
      <c r="S56" s="2024"/>
      <c r="T56" s="2024"/>
      <c r="U56" s="2024"/>
      <c r="V56" s="2024"/>
    </row>
    <row r="57" spans="1:22" ht="12.75">
      <c r="A57" s="256"/>
      <c r="B57" s="338" t="s">
        <v>372</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371</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6" t="s">
        <v>374</v>
      </c>
      <c r="B63" s="3377"/>
      <c r="C63" s="3378"/>
      <c r="D63" s="340">
        <f ca="1">ROUND(C42*F63,0)</f>
        <v>49632</v>
      </c>
      <c r="E63" s="301" t="s">
        <v>375</v>
      </c>
      <c r="F63" s="341">
        <v>0.6</v>
      </c>
      <c r="G63" s="342" t="s">
        <v>376</v>
      </c>
      <c r="H63" s="310"/>
      <c r="I63" s="310"/>
      <c r="J63" s="2024"/>
      <c r="K63" s="2024"/>
      <c r="L63" s="2024"/>
      <c r="M63" s="2024"/>
      <c r="N63" s="2024"/>
      <c r="O63" s="2024"/>
      <c r="P63" s="310"/>
      <c r="Q63" s="2024"/>
      <c r="R63" s="2024"/>
      <c r="S63" s="2024"/>
      <c r="T63" s="2024"/>
      <c r="U63" s="2024"/>
      <c r="V63" s="2024"/>
    </row>
    <row r="64" spans="1:22" ht="14.25" customHeight="1">
      <c r="A64" s="3333" t="s">
        <v>378</v>
      </c>
      <c r="B64" s="3334"/>
      <c r="C64" s="3334"/>
      <c r="D64" s="3334"/>
      <c r="E64" s="3334"/>
      <c r="F64" s="3334"/>
      <c r="G64" s="3335"/>
      <c r="H64" s="1286"/>
      <c r="I64" s="946"/>
      <c r="J64" s="1986"/>
      <c r="K64" s="1558" t="s">
        <v>377</v>
      </c>
      <c r="L64" s="11"/>
      <c r="M64" s="11"/>
      <c r="N64" s="11"/>
      <c r="O64" s="11"/>
      <c r="P64" s="310"/>
      <c r="Q64" s="2024"/>
      <c r="R64" s="2024"/>
      <c r="S64" s="2024"/>
      <c r="T64" s="2024"/>
      <c r="U64" s="2024"/>
      <c r="V64" s="2024"/>
    </row>
    <row r="65" spans="1:22" ht="12" customHeight="1">
      <c r="A65" s="343" t="s">
        <v>380</v>
      </c>
      <c r="B65" s="344"/>
      <c r="C65" s="345"/>
      <c r="D65" s="346" t="s">
        <v>381</v>
      </c>
      <c r="E65" s="53" t="s">
        <v>382</v>
      </c>
      <c r="F65" s="347" t="s">
        <v>383</v>
      </c>
      <c r="G65" s="348" t="s">
        <v>384</v>
      </c>
      <c r="H65" s="1286"/>
      <c r="I65" s="946"/>
      <c r="J65" s="1986"/>
      <c r="K65" s="1287"/>
      <c r="L65" s="1288"/>
      <c r="M65" s="1288"/>
      <c r="N65" s="1320" t="s">
        <v>379</v>
      </c>
      <c r="O65" s="1321"/>
      <c r="P65" s="1322"/>
      <c r="Q65" s="2024"/>
      <c r="R65" s="2024"/>
      <c r="S65" s="2024"/>
      <c r="T65" s="2024"/>
      <c r="U65" s="2024"/>
      <c r="V65" s="2024"/>
    </row>
    <row r="66" spans="1:22" ht="25.5">
      <c r="A66" s="3329" t="s">
        <v>386</v>
      </c>
      <c r="B66" s="3330"/>
      <c r="C66" s="3330"/>
      <c r="D66" s="260">
        <f ca="1">IF(H66="情况1",0,IF(H66="情况2",D70,IF(H66="情况3",D71,IF(H66="情况4",D72))))</f>
        <v>2647</v>
      </c>
      <c r="E66" s="991" t="str">
        <f>IF(H66="情况4","(销售额-原购置价)×税（费）率","销售额×税（费）率")</f>
        <v>销售额×税（费）率</v>
      </c>
      <c r="F66" s="349">
        <f>IF(H66="情况1","免征",'数据-取费表'!B41)</f>
        <v>5.6000000000000001E-2</v>
      </c>
      <c r="G66" s="350" t="s">
        <v>387</v>
      </c>
      <c r="H66" s="191" t="s">
        <v>388</v>
      </c>
      <c r="I66" s="1286"/>
      <c r="J66" s="2030"/>
      <c r="K66" s="1289">
        <v>1</v>
      </c>
      <c r="L66" s="3391" t="s">
        <v>385</v>
      </c>
      <c r="M66" s="3392"/>
      <c r="N66" s="2454"/>
      <c r="O66" s="2455"/>
      <c r="P66" s="2456"/>
      <c r="Q66" s="2024"/>
      <c r="R66" s="2024"/>
      <c r="S66" s="2024"/>
      <c r="T66" s="2024"/>
      <c r="U66" s="2024"/>
      <c r="V66" s="2024"/>
    </row>
    <row r="67" spans="1:22" ht="25.5" customHeight="1">
      <c r="A67" s="351" t="s">
        <v>390</v>
      </c>
      <c r="B67" s="3320" t="s">
        <v>391</v>
      </c>
      <c r="C67" s="3320"/>
      <c r="D67" s="352">
        <v>0</v>
      </c>
      <c r="E67" s="41" t="s">
        <v>392</v>
      </c>
      <c r="F67" s="62" t="s">
        <v>21</v>
      </c>
      <c r="G67" s="3379"/>
      <c r="H67" s="310"/>
      <c r="I67" s="1290"/>
      <c r="J67" s="2031"/>
      <c r="K67" s="1972">
        <v>2</v>
      </c>
      <c r="L67" s="3390" t="s">
        <v>389</v>
      </c>
      <c r="M67" s="3390"/>
      <c r="N67" s="1323">
        <f>'数据-取费表'!B2</f>
        <v>43328</v>
      </c>
      <c r="O67" s="1323"/>
      <c r="P67" s="1323"/>
      <c r="Q67" s="2024"/>
      <c r="R67" s="2024"/>
      <c r="S67" s="2024"/>
      <c r="T67" s="2024"/>
      <c r="U67" s="2024"/>
      <c r="V67" s="2024"/>
    </row>
    <row r="68" spans="1:22" ht="25.5" customHeight="1">
      <c r="A68" s="353"/>
      <c r="B68" s="3320" t="s">
        <v>394</v>
      </c>
      <c r="C68" s="3320"/>
      <c r="D68" s="354"/>
      <c r="E68" s="77"/>
      <c r="F68" s="355"/>
      <c r="G68" s="3380"/>
      <c r="H68" s="310"/>
      <c r="I68" s="1290"/>
      <c r="J68" s="2031"/>
      <c r="K68" s="1972">
        <v>3</v>
      </c>
      <c r="L68" s="3390" t="s">
        <v>393</v>
      </c>
      <c r="M68" s="3390"/>
      <c r="N68" s="1291">
        <f ca="1">C42</f>
        <v>82720</v>
      </c>
      <c r="O68" s="1291"/>
      <c r="P68" s="1291"/>
      <c r="Q68" s="2024"/>
      <c r="R68" s="2024"/>
      <c r="S68" s="2024"/>
      <c r="T68" s="2024"/>
      <c r="U68" s="2024"/>
      <c r="V68" s="2024"/>
    </row>
    <row r="69" spans="1:22" ht="12" customHeight="1">
      <c r="A69" s="356"/>
      <c r="B69" s="3320" t="s">
        <v>395</v>
      </c>
      <c r="C69" s="3320"/>
      <c r="D69" s="357"/>
      <c r="E69" s="73"/>
      <c r="F69" s="355"/>
      <c r="G69" s="3381"/>
      <c r="H69" s="310"/>
      <c r="I69" s="1290"/>
      <c r="J69" s="2031"/>
      <c r="K69" s="1292">
        <v>4</v>
      </c>
      <c r="L69" s="3395" t="s">
        <v>2883</v>
      </c>
      <c r="M69" s="3396"/>
      <c r="N69" s="1293">
        <f ca="1">C44</f>
        <v>82720</v>
      </c>
      <c r="O69" s="1293"/>
      <c r="P69" s="1293"/>
      <c r="Q69" s="2024"/>
      <c r="R69" s="2024"/>
      <c r="S69" s="2024"/>
      <c r="T69" s="2024"/>
      <c r="U69" s="2024"/>
      <c r="V69" s="2024"/>
    </row>
    <row r="70" spans="1:22" ht="24" customHeight="1">
      <c r="A70" s="358" t="s">
        <v>396</v>
      </c>
      <c r="B70" s="3320" t="s">
        <v>397</v>
      </c>
      <c r="C70" s="3320"/>
      <c r="D70" s="357">
        <f ca="1">ROUND(D63*'数据-取费表'!B41/(1+'数据-取费表'!C42),0)</f>
        <v>2647</v>
      </c>
      <c r="E70" s="17" t="s">
        <v>398</v>
      </c>
      <c r="F70" s="359">
        <f>'数据-取费表'!B41</f>
        <v>5.6000000000000001E-2</v>
      </c>
      <c r="G70" s="360"/>
      <c r="H70" s="310"/>
      <c r="I70" s="1290"/>
      <c r="J70" s="2031"/>
      <c r="K70" s="3057"/>
      <c r="L70" s="3058"/>
      <c r="M70" s="3058"/>
      <c r="N70" s="3059" t="s">
        <v>2888</v>
      </c>
      <c r="O70" s="3058"/>
      <c r="P70" s="3060"/>
      <c r="Q70" s="2024"/>
      <c r="R70" s="2024"/>
      <c r="S70" s="2024"/>
      <c r="T70" s="2024"/>
      <c r="U70" s="2024"/>
      <c r="V70" s="2024"/>
    </row>
    <row r="71" spans="1:22" ht="12" customHeight="1">
      <c r="A71" s="358" t="s">
        <v>404</v>
      </c>
      <c r="B71" s="3321" t="s">
        <v>405</v>
      </c>
      <c r="C71" s="3322"/>
      <c r="D71" s="357">
        <f ca="1">ROUND(D63*'数据-取费表'!B41/(1+'数据-取费表'!C42),0)</f>
        <v>2647</v>
      </c>
      <c r="E71" s="17" t="s">
        <v>398</v>
      </c>
      <c r="F71" s="359">
        <f>'数据-取费表'!B41</f>
        <v>5.6000000000000001E-2</v>
      </c>
      <c r="G71" s="360"/>
      <c r="H71" s="310"/>
      <c r="I71" s="1290"/>
      <c r="J71" s="2031"/>
      <c r="K71" s="3056" t="s">
        <v>399</v>
      </c>
      <c r="L71" s="3397" t="s">
        <v>400</v>
      </c>
      <c r="M71" s="3397"/>
      <c r="N71" s="3056" t="s">
        <v>401</v>
      </c>
      <c r="O71" s="3056" t="s">
        <v>402</v>
      </c>
      <c r="P71" s="3056" t="s">
        <v>403</v>
      </c>
      <c r="Q71" s="2024"/>
      <c r="R71" s="2024"/>
      <c r="S71" s="2024"/>
      <c r="T71" s="2024"/>
      <c r="U71" s="2024"/>
      <c r="V71" s="2024"/>
    </row>
    <row r="72" spans="1:22" ht="12" customHeight="1">
      <c r="A72" s="358" t="s">
        <v>407</v>
      </c>
      <c r="B72" s="3321" t="s">
        <v>408</v>
      </c>
      <c r="C72" s="3322"/>
      <c r="D72" s="357">
        <f ca="1">C86</f>
        <v>2535</v>
      </c>
      <c r="E72" s="73" t="s">
        <v>409</v>
      </c>
      <c r="F72" s="359">
        <f>'数据-取费表'!B41</f>
        <v>5.6000000000000001E-2</v>
      </c>
      <c r="G72" s="360"/>
      <c r="H72" s="1296"/>
      <c r="I72" s="1290"/>
      <c r="J72" s="2031"/>
      <c r="K72" s="1972">
        <v>1</v>
      </c>
      <c r="L72" s="3372" t="s">
        <v>406</v>
      </c>
      <c r="M72" s="3372"/>
      <c r="N72" s="1294">
        <f ca="1">D66</f>
        <v>2647</v>
      </c>
      <c r="O72" s="1855" t="str">
        <f>E66</f>
        <v>销售额×税（费）率</v>
      </c>
      <c r="P72" s="1295">
        <f>F66</f>
        <v>5.6000000000000001E-2</v>
      </c>
      <c r="Q72" s="2024"/>
      <c r="R72" s="2024"/>
      <c r="S72" s="2024"/>
      <c r="T72" s="2024"/>
      <c r="U72" s="2024"/>
      <c r="V72" s="2024"/>
    </row>
    <row r="73" spans="1:22" ht="24" customHeight="1">
      <c r="A73" s="3366" t="s">
        <v>411</v>
      </c>
      <c r="B73" s="3330"/>
      <c r="C73" s="3330"/>
      <c r="D73" s="361">
        <f>IF(H73="个人住宅",0,ROUND(D63*I73,0))</f>
        <v>0</v>
      </c>
      <c r="E73" s="17" t="s">
        <v>412</v>
      </c>
      <c r="F73" s="359" t="str">
        <f>IF(H73="正常",I73,"免征")</f>
        <v>免征</v>
      </c>
      <c r="G73" s="360"/>
      <c r="H73" s="191" t="s">
        <v>2455</v>
      </c>
      <c r="I73" s="359">
        <f>'数据-取费表'!B49</f>
        <v>5.0000000000000001E-4</v>
      </c>
      <c r="J73" s="2031"/>
      <c r="K73" s="1972">
        <v>2</v>
      </c>
      <c r="L73" s="3372" t="s">
        <v>410</v>
      </c>
      <c r="M73" s="3372"/>
      <c r="N73" s="1294">
        <f t="shared" ref="N73:P74" si="1">D73</f>
        <v>0</v>
      </c>
      <c r="O73" s="1855" t="str">
        <f t="shared" si="1"/>
        <v>销售额×税（费）率</v>
      </c>
      <c r="P73" s="1295" t="str">
        <f t="shared" si="1"/>
        <v>免征</v>
      </c>
      <c r="Q73" s="2024"/>
      <c r="R73" s="2024"/>
      <c r="S73" s="2024"/>
      <c r="T73" s="2024"/>
      <c r="U73" s="2024"/>
      <c r="V73" s="2024"/>
    </row>
    <row r="74" spans="1:22" ht="24.75">
      <c r="A74" s="3366" t="s">
        <v>415</v>
      </c>
      <c r="B74" s="3330"/>
      <c r="C74" s="3330"/>
      <c r="D74" s="361">
        <f ca="1">IF(H74="个人住宅",D75,D76)</f>
        <v>27436</v>
      </c>
      <c r="E74" s="17" t="s">
        <v>416</v>
      </c>
      <c r="F74" s="359" t="str">
        <f>IF(H74="正常",F76,"免征")</f>
        <v>——</v>
      </c>
      <c r="G74" s="981" t="s">
        <v>417</v>
      </c>
      <c r="H74" s="362" t="s">
        <v>413</v>
      </c>
      <c r="I74" s="42"/>
      <c r="J74" s="2031"/>
      <c r="K74" s="1972">
        <v>3</v>
      </c>
      <c r="L74" s="3372" t="s">
        <v>414</v>
      </c>
      <c r="M74" s="3372"/>
      <c r="N74" s="1294">
        <f t="shared" ca="1" si="1"/>
        <v>27436</v>
      </c>
      <c r="O74" s="1855" t="str">
        <f t="shared" si="1"/>
        <v>增值额×税（费）率</v>
      </c>
      <c r="P74" s="1297" t="str">
        <f t="shared" si="1"/>
        <v>——</v>
      </c>
      <c r="Q74" s="2024"/>
      <c r="R74" s="2024"/>
      <c r="S74" s="2024"/>
      <c r="T74" s="2024"/>
      <c r="U74" s="2024"/>
      <c r="V74" s="2024"/>
    </row>
    <row r="75" spans="1:22" ht="24">
      <c r="A75" s="358" t="s">
        <v>418</v>
      </c>
      <c r="B75" s="3318" t="s">
        <v>419</v>
      </c>
      <c r="C75" s="3352"/>
      <c r="D75" s="363">
        <v>0</v>
      </c>
      <c r="E75" s="41" t="s">
        <v>420</v>
      </c>
      <c r="F75" s="364"/>
      <c r="G75" s="360"/>
      <c r="H75" s="42"/>
      <c r="I75" s="42"/>
      <c r="J75" s="2031"/>
      <c r="K75" s="3049">
        <f>IF(H77="非个人房产","",4)</f>
        <v>4</v>
      </c>
      <c r="L75" s="3372" t="str">
        <f>IF(H77="非个人房产","——","个人所得税")</f>
        <v>个人所得税</v>
      </c>
      <c r="M75" s="3372"/>
      <c r="N75" s="1298">
        <f ca="1">D77</f>
        <v>496</v>
      </c>
      <c r="O75" s="1868" t="str">
        <f>E77</f>
        <v>销售额×税（费）率</v>
      </c>
      <c r="P75" s="1299">
        <f>F77</f>
        <v>0.01</v>
      </c>
      <c r="Q75" s="2024"/>
      <c r="R75" s="2024"/>
      <c r="S75" s="2024"/>
      <c r="T75" s="2024"/>
      <c r="U75" s="2024"/>
      <c r="V75" s="2024"/>
    </row>
    <row r="76" spans="1:22" ht="24.75">
      <c r="A76" s="358" t="s">
        <v>396</v>
      </c>
      <c r="B76" s="3318" t="s">
        <v>422</v>
      </c>
      <c r="C76" s="3319"/>
      <c r="D76" s="361">
        <f ca="1">IF(H76="转让取得",C99,C115)</f>
        <v>27436</v>
      </c>
      <c r="E76" s="17" t="s">
        <v>423</v>
      </c>
      <c r="F76" s="53" t="s">
        <v>21</v>
      </c>
      <c r="G76" s="360"/>
      <c r="H76" s="362" t="s">
        <v>424</v>
      </c>
      <c r="I76" s="42"/>
      <c r="J76" s="2031"/>
      <c r="K76" s="3049" t="str">
        <f>IF(项目基本情况!K6="上海银行",IF(K75="",4,K75+1),"")</f>
        <v/>
      </c>
      <c r="L76" s="3383" t="str">
        <f>IF(项目基本情况!K6="上海银行","其他处置费用","")</f>
        <v/>
      </c>
      <c r="M76" s="3384"/>
      <c r="N76" s="1294" t="str">
        <f>IF(项目基本情况!K6="上海银行",N89,"")</f>
        <v/>
      </c>
      <c r="O76" s="3385" t="str">
        <f>IF(项目基本情况!K6="上海银行","包含处置中涉及的律师、诉讼、拍卖、评估等费用","")</f>
        <v/>
      </c>
      <c r="P76" s="3386"/>
      <c r="Q76" s="2024"/>
      <c r="R76" s="2024"/>
      <c r="S76" s="2024"/>
      <c r="T76" s="2024"/>
      <c r="U76" s="2024"/>
      <c r="V76" s="2024"/>
    </row>
    <row r="77" spans="1:22" ht="26.25" thickBot="1">
      <c r="A77" s="3374" t="s">
        <v>426</v>
      </c>
      <c r="B77" s="3375"/>
      <c r="C77" s="3375"/>
      <c r="D77" s="365">
        <f ca="1">IF(H77="非个人房产","——",IF(H77="个人住宅",0,ROUND(D63*I77,0)))</f>
        <v>496</v>
      </c>
      <c r="E77" s="366" t="str">
        <f>IF(H77="非个人房产","——","销售额×税（费）率")</f>
        <v>销售额×税（费）率</v>
      </c>
      <c r="F77" s="367">
        <f>IF(H77="非个人房产","——",IF(H77="个人住宅","免征",I77))</f>
        <v>0.01</v>
      </c>
      <c r="G77" s="982" t="s">
        <v>417</v>
      </c>
      <c r="H77" s="362" t="s">
        <v>2884</v>
      </c>
      <c r="I77" s="368">
        <v>0.01</v>
      </c>
      <c r="J77" s="2031"/>
      <c r="K77" s="3373">
        <f>IF(AND(K75="",K76=""),4,IF(项目基本情况!K6="上海银行",K76+1,K75+1))</f>
        <v>5</v>
      </c>
      <c r="L77" s="3372" t="s">
        <v>2885</v>
      </c>
      <c r="M77" s="3055" t="s">
        <v>421</v>
      </c>
      <c r="N77" s="1300"/>
      <c r="O77" s="1301">
        <f ca="1">SUMIF(N72:N76,"&lt;9e307")</f>
        <v>30579</v>
      </c>
      <c r="P77" s="1302"/>
      <c r="Q77" s="3053">
        <f ca="1">O77/N69</f>
        <v>0.36966876208897487</v>
      </c>
      <c r="R77" s="2024"/>
      <c r="S77" s="2024"/>
      <c r="T77" s="2024"/>
      <c r="U77" s="2024"/>
      <c r="V77" s="2024"/>
    </row>
    <row r="78" spans="1:22" ht="12" customHeight="1">
      <c r="A78" s="1303"/>
      <c r="B78" s="310"/>
      <c r="C78" s="310"/>
      <c r="D78" s="310"/>
      <c r="E78" s="42"/>
      <c r="F78" s="42"/>
      <c r="G78" s="42"/>
      <c r="H78" s="1001"/>
      <c r="I78" s="310"/>
      <c r="J78" s="2031"/>
      <c r="K78" s="3373"/>
      <c r="L78" s="3372"/>
      <c r="M78" s="3055" t="s">
        <v>425</v>
      </c>
      <c r="N78" s="1300"/>
      <c r="O78" s="1301" t="str">
        <f ca="1">NUMBERSTRING(INT(O77*10000),2)&amp;"元整"</f>
        <v>叁亿零伍佰柒拾玖万元整</v>
      </c>
      <c r="P78" s="1302"/>
      <c r="Q78" s="2024"/>
      <c r="R78" s="2024"/>
      <c r="S78" s="2024"/>
      <c r="T78" s="2024"/>
      <c r="U78" s="2024"/>
      <c r="V78" s="2024"/>
    </row>
    <row r="79" spans="1:22" ht="13.5" thickBot="1">
      <c r="A79" s="3367" t="s">
        <v>427</v>
      </c>
      <c r="B79" s="3367"/>
      <c r="C79" s="3367"/>
      <c r="D79" s="3367"/>
      <c r="E79" s="3367"/>
      <c r="F79" s="42"/>
      <c r="G79" s="42"/>
      <c r="H79" s="1001"/>
      <c r="I79" s="310"/>
      <c r="J79" s="2031"/>
      <c r="K79" s="3393">
        <f>K77+1</f>
        <v>6</v>
      </c>
      <c r="L79" s="3372" t="s">
        <v>2886</v>
      </c>
      <c r="M79" s="3055" t="s">
        <v>421</v>
      </c>
      <c r="N79" s="1300"/>
      <c r="O79" s="1301">
        <f ca="1">N69-O77</f>
        <v>52141</v>
      </c>
      <c r="P79" s="1302"/>
      <c r="Q79" s="2024"/>
      <c r="R79" s="2024"/>
      <c r="S79" s="2024"/>
      <c r="T79" s="2024"/>
      <c r="U79" s="2024"/>
      <c r="V79" s="2024"/>
    </row>
    <row r="80" spans="1:22" ht="25.5">
      <c r="A80" s="3362" t="s">
        <v>428</v>
      </c>
      <c r="B80" s="3363"/>
      <c r="C80" s="992"/>
      <c r="D80" s="992" t="s">
        <v>429</v>
      </c>
      <c r="E80" s="369" t="s">
        <v>430</v>
      </c>
      <c r="F80" s="42"/>
      <c r="G80" s="42"/>
      <c r="H80" s="1001"/>
      <c r="I80" s="310"/>
      <c r="J80" s="2024"/>
      <c r="K80" s="3394"/>
      <c r="L80" s="3372"/>
      <c r="M80" s="3055" t="s">
        <v>425</v>
      </c>
      <c r="N80" s="1300"/>
      <c r="O80" s="1301" t="str">
        <f ca="1">NUMBERSTRING(INT(O79*10000),2)&amp;"元整"</f>
        <v>伍亿贰仟壹佰肆拾壹万元整</v>
      </c>
      <c r="P80" s="1302"/>
      <c r="Q80" s="2024"/>
      <c r="R80" s="2024"/>
      <c r="S80" s="2024"/>
      <c r="T80" s="2024"/>
      <c r="U80" s="2024"/>
      <c r="V80" s="2024"/>
    </row>
    <row r="81" spans="1:26" ht="13.5" thickBot="1">
      <c r="A81" s="380" t="s">
        <v>1824</v>
      </c>
      <c r="B81" s="370" t="s">
        <v>431</v>
      </c>
      <c r="C81" s="371">
        <f ca="1">ROUND((C82+C83)/(1+'数据-取费表'!C42),0)</f>
        <v>47269</v>
      </c>
      <c r="D81" s="372"/>
      <c r="E81" s="373"/>
      <c r="F81" s="42"/>
      <c r="G81" s="42"/>
      <c r="H81" s="1001"/>
      <c r="I81" s="310"/>
      <c r="J81" s="2024"/>
      <c r="K81" s="3049">
        <f>K79+1</f>
        <v>7</v>
      </c>
      <c r="L81" s="3370" t="s">
        <v>2887</v>
      </c>
      <c r="M81" s="3371"/>
      <c r="N81" s="1304"/>
      <c r="O81" s="1305">
        <f ca="1">ROUND(O79*10000/'数据-汇总表'!E3,0)</f>
        <v>9039</v>
      </c>
      <c r="P81" s="1306"/>
      <c r="Q81" s="2024"/>
      <c r="R81" s="2024"/>
      <c r="S81" s="2024"/>
      <c r="T81" s="2024"/>
      <c r="U81" s="2024"/>
      <c r="V81" s="2024"/>
    </row>
    <row r="82" spans="1:26" ht="13.5" thickTop="1">
      <c r="A82" s="374" t="s">
        <v>1825</v>
      </c>
      <c r="B82" s="375" t="s">
        <v>432</v>
      </c>
      <c r="C82" s="376">
        <f ca="1">D63</f>
        <v>49632</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1826</v>
      </c>
      <c r="B83" s="375" t="s">
        <v>433</v>
      </c>
      <c r="C83" s="379">
        <v>0</v>
      </c>
      <c r="D83" s="377"/>
      <c r="E83" s="378"/>
      <c r="F83" s="42"/>
      <c r="G83" s="42"/>
      <c r="H83" s="1001"/>
      <c r="I83" s="310"/>
      <c r="J83" s="2024"/>
      <c r="K83" s="3382" t="s">
        <v>2874</v>
      </c>
      <c r="L83" s="3061" t="s">
        <v>2875</v>
      </c>
      <c r="M83" s="3051">
        <f ca="1">IF(N69&gt;10000,N69*0.5%,IF(AND(N69&gt;1000,N69&lt;=10000),N69*1%,IF(AND(N69&gt;100,N69&lt;=1000),N69*3%,IF(AND(N69&gt;10,N69&lt;=100),N69*5%,N69*8%))))</f>
        <v>413.6</v>
      </c>
      <c r="N83" s="53">
        <f ca="1">ROUND(M83,1)</f>
        <v>413.6</v>
      </c>
      <c r="O83" s="3054"/>
      <c r="P83" s="2024"/>
      <c r="Q83" s="2024"/>
      <c r="R83" s="2024"/>
      <c r="S83" s="2024"/>
      <c r="T83" s="2024"/>
      <c r="U83" s="2024"/>
      <c r="V83" s="2024"/>
    </row>
    <row r="84" spans="1:26" ht="12.75">
      <c r="A84" s="380" t="s">
        <v>1827</v>
      </c>
      <c r="B84" s="381" t="s">
        <v>434</v>
      </c>
      <c r="C84" s="382">
        <v>2000</v>
      </c>
      <c r="D84" s="383" t="s">
        <v>19</v>
      </c>
      <c r="E84" s="3093" t="s">
        <v>2931</v>
      </c>
      <c r="F84" s="42"/>
      <c r="G84" s="42"/>
      <c r="H84" s="1001"/>
      <c r="I84" s="310"/>
      <c r="J84" s="2024"/>
      <c r="K84" s="3382"/>
      <c r="L84" s="3061" t="s">
        <v>2876</v>
      </c>
      <c r="M84" s="3051">
        <f ca="1">IF(N69&gt;2000,N69*0.5%,IF(AND(N69&gt;1000,N69&lt;=2000),N69*0.6%,IF(AND(N69&gt;500,N69&lt;=1000),N69*0.7%,IF(AND(N69&gt;200,N69&lt;=500),N69*0.8%,IF(AND(N69&gt;100,N69&lt;=200),N69*0.9%,IF(AND(N69&gt;50,N69&lt;=100),N69*1%,IF(AND(N69&gt;20,N69&lt;=50),N69*1.5%,IF(AND(N69&gt;10,N69&lt;=20),N69*2%,IF(AND(N69&gt;1,N69&lt;=10),N69*2.5%)))))))))</f>
        <v>413.6</v>
      </c>
      <c r="N84" s="53">
        <f t="shared" ref="N84:N85" ca="1" si="2">ROUND(M84,1)</f>
        <v>413.6</v>
      </c>
      <c r="O84" s="2024" t="s">
        <v>2877</v>
      </c>
      <c r="P84" s="2024"/>
      <c r="Q84" s="2024"/>
      <c r="R84" s="2024"/>
      <c r="S84" s="2024"/>
      <c r="T84" s="2024"/>
      <c r="U84" s="2024"/>
      <c r="V84" s="2024"/>
    </row>
    <row r="85" spans="1:26" ht="12.75">
      <c r="A85" s="380" t="s">
        <v>1828</v>
      </c>
      <c r="B85" s="381" t="s">
        <v>435</v>
      </c>
      <c r="C85" s="384">
        <f ca="1">C81-C84</f>
        <v>45269</v>
      </c>
      <c r="D85" s="377" t="s">
        <v>19</v>
      </c>
      <c r="E85" s="378"/>
      <c r="F85" s="42"/>
      <c r="G85" s="42"/>
      <c r="H85" s="1001"/>
      <c r="I85" s="310"/>
      <c r="J85" s="2024"/>
      <c r="K85" s="3382"/>
      <c r="L85" s="3061" t="s">
        <v>2878</v>
      </c>
      <c r="M85" s="3051">
        <f ca="1">IF(N69&gt;1000,N69*0.1%,IF(AND(N69&gt;500,N69&lt;=1000),N69*0.5%,IF(AND(N69&gt;50,N69&lt;=500),N69*1%,IF(AND(N69&gt;1,N69&lt;=50),N69*1.5%))))</f>
        <v>82.72</v>
      </c>
      <c r="N85" s="53">
        <f t="shared" ca="1" si="2"/>
        <v>82.7</v>
      </c>
      <c r="O85" s="2024" t="s">
        <v>2877</v>
      </c>
      <c r="P85" s="2024"/>
      <c r="Q85" s="2024"/>
      <c r="R85" s="2024"/>
      <c r="S85" s="2024"/>
      <c r="T85" s="2024"/>
      <c r="U85" s="2024"/>
      <c r="V85" s="2024"/>
    </row>
    <row r="86" spans="1:26" ht="13.5" thickBot="1">
      <c r="A86" s="385" t="s">
        <v>1829</v>
      </c>
      <c r="B86" s="386" t="s">
        <v>436</v>
      </c>
      <c r="C86" s="387">
        <f ca="1">IF(C85&lt;=0,0,ROUND(C85*D86,0))</f>
        <v>2535</v>
      </c>
      <c r="D86" s="388">
        <f>'数据-取费表'!B41</f>
        <v>5.6000000000000001E-2</v>
      </c>
      <c r="E86" s="389"/>
      <c r="F86" s="42"/>
      <c r="G86" s="42"/>
      <c r="H86" s="1001"/>
      <c r="I86" s="310"/>
      <c r="J86" s="2024"/>
      <c r="K86" s="3382"/>
      <c r="L86" s="3061" t="s">
        <v>2879</v>
      </c>
      <c r="M86" s="3051">
        <f ca="1">N69*0.5%</f>
        <v>413.6</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2"/>
      <c r="L87" s="3061" t="s">
        <v>2881</v>
      </c>
      <c r="M87" s="3051">
        <f ca="1">IF(N69&gt;=10000,(8.25+(N69-10000)*0.01%),IF(AND(N69&gt;=8000,N69&lt;10000),(7.85+(N69-8000)*0.02%),IF(AND(N69&gt;=5000,N69&lt;8000),(6.65+(N69-5000)*0.04%),IF(AND(N69&gt;=2000,N69&lt;5000),(4.25+(PN69-2000)*0.08%),IF(AND(N69&gt;=1000,N69&lt;2000),(2.75+(N69-1000)*0.15%),IF(AND(N69&gt;=100,N69&lt;1000),(0.5+(N69-100)*0.25%),IF(AND(N69&gt;0,N69&lt;100),N69*0.5%)))))))</f>
        <v>15.522</v>
      </c>
      <c r="N87" s="53">
        <f ca="1">ROUND(M87*0.9,1)</f>
        <v>14</v>
      </c>
      <c r="O87" s="3054"/>
      <c r="P87" s="310"/>
      <c r="Q87" s="2024"/>
      <c r="R87" s="2024"/>
      <c r="S87" s="2024"/>
      <c r="T87" s="2024"/>
      <c r="U87" s="2024"/>
      <c r="V87" s="2024"/>
      <c r="W87" s="291"/>
      <c r="X87" s="291"/>
      <c r="Y87" s="291"/>
      <c r="Z87" s="291"/>
    </row>
    <row r="88" spans="1:26" s="1312" customFormat="1" ht="15" thickBot="1">
      <c r="A88" s="3364" t="s">
        <v>437</v>
      </c>
      <c r="B88" s="3365"/>
      <c r="C88" s="3365"/>
      <c r="D88" s="3365"/>
      <c r="E88" s="3365"/>
      <c r="F88" s="3365"/>
      <c r="G88" s="3365"/>
      <c r="H88" s="3365"/>
      <c r="I88" s="1313"/>
      <c r="J88" s="2032"/>
      <c r="K88" s="3382"/>
      <c r="L88" s="3061" t="s">
        <v>2882</v>
      </c>
      <c r="M88" s="3051">
        <f ca="1">IF(N69&gt;10000,N69*0.5%,IF(AND(N69&gt;5000,N69&lt;=10000),N69*1%,IF(AND(N69&gt;1000,N69&lt;=5000),N69*2%,IF(AND(N69&gt;200,N69&lt;=1000),N69*3%,N69*5%))))</f>
        <v>413.6</v>
      </c>
      <c r="N88" s="53">
        <f ca="1">ROUND(M88,1)</f>
        <v>413.6</v>
      </c>
      <c r="O88" s="3054"/>
      <c r="P88" s="11"/>
      <c r="Q88" s="2029"/>
      <c r="R88" s="2029"/>
      <c r="S88" s="2029"/>
      <c r="T88" s="2029"/>
      <c r="U88" s="2029"/>
      <c r="V88" s="2029"/>
      <c r="W88" s="2033"/>
      <c r="X88" s="2033"/>
      <c r="Y88" s="2033"/>
      <c r="Z88" s="2033"/>
    </row>
    <row r="89" spans="1:26" s="1312" customFormat="1" ht="14.25">
      <c r="A89" s="3362" t="s">
        <v>428</v>
      </c>
      <c r="B89" s="3363"/>
      <c r="C89" s="992"/>
      <c r="D89" s="992" t="s">
        <v>429</v>
      </c>
      <c r="E89" s="390" t="s">
        <v>438</v>
      </c>
      <c r="F89" s="391"/>
      <c r="G89" s="391"/>
      <c r="H89" s="392"/>
      <c r="I89" s="1314"/>
      <c r="J89" s="2034"/>
      <c r="K89" s="3382"/>
      <c r="L89" s="3061" t="s">
        <v>27</v>
      </c>
      <c r="M89" s="3052"/>
      <c r="N89" s="53">
        <f ca="1">ROUND(SUM(N83:N88),0)</f>
        <v>1338</v>
      </c>
      <c r="O89" s="3062">
        <f ca="1">N89/N69</f>
        <v>1.6175048355899418E-2</v>
      </c>
      <c r="P89" s="2029"/>
      <c r="Q89" s="2029"/>
      <c r="R89" s="2029"/>
      <c r="S89" s="2029"/>
      <c r="T89" s="2029"/>
      <c r="U89" s="2029"/>
      <c r="V89" s="2029"/>
      <c r="W89" s="2033"/>
      <c r="X89" s="2033"/>
      <c r="Y89" s="2033"/>
      <c r="Z89" s="2033"/>
    </row>
    <row r="90" spans="1:26" s="1312" customFormat="1" ht="14.25">
      <c r="A90" s="380" t="s">
        <v>1824</v>
      </c>
      <c r="B90" s="381" t="s">
        <v>439</v>
      </c>
      <c r="C90" s="384">
        <f ca="1">ROUND(D63/(1+'数据-取费表'!C42),0)</f>
        <v>47269</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1830</v>
      </c>
      <c r="B91" s="347" t="s">
        <v>440</v>
      </c>
      <c r="C91" s="384">
        <f ca="1">C92+C96</f>
        <v>2845</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1832</v>
      </c>
      <c r="B93" s="375" t="s">
        <v>442</v>
      </c>
      <c r="C93" s="395">
        <v>2000</v>
      </c>
      <c r="D93" s="377" t="s">
        <v>19</v>
      </c>
      <c r="E93" s="396" t="s">
        <v>443</v>
      </c>
      <c r="F93" s="397" t="s">
        <v>444</v>
      </c>
      <c r="G93" s="396" t="s">
        <v>445</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1833</v>
      </c>
      <c r="B94" s="399" t="s">
        <v>446</v>
      </c>
      <c r="C94" s="377">
        <f>IF(F93="购房发票",ROUND(C93*H93*5%,0),0)</f>
        <v>500</v>
      </c>
      <c r="D94" s="400">
        <v>0.05</v>
      </c>
      <c r="E94" s="3321" t="s">
        <v>447</v>
      </c>
      <c r="F94" s="3320"/>
      <c r="G94" s="3320"/>
      <c r="H94" s="3361"/>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1835</v>
      </c>
      <c r="B96" s="375" t="s">
        <v>450</v>
      </c>
      <c r="C96" s="404">
        <f ca="1">ROUND(D63*D96/(1+'数据-取费表'!C42),0)</f>
        <v>284</v>
      </c>
      <c r="D96" s="405">
        <f>'数据-取费表'!B43</f>
        <v>6.000000000000001E-3</v>
      </c>
      <c r="E96" s="3353" t="s">
        <v>2428</v>
      </c>
      <c r="F96" s="3354"/>
      <c r="G96" s="3354"/>
      <c r="H96" s="3355"/>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1836</v>
      </c>
      <c r="B97" s="381" t="s">
        <v>451</v>
      </c>
      <c r="C97" s="384">
        <f ca="1">C90-C91</f>
        <v>44424</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1" t="s">
        <v>452</v>
      </c>
      <c r="C98" s="406">
        <f ca="1">IF(C97&lt;=0,0,C97/C91)</f>
        <v>15.61476274165202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1838</v>
      </c>
      <c r="B99" s="386" t="s">
        <v>453</v>
      </c>
      <c r="C99" s="407">
        <f ca="1">ROUND(IF(C97&lt;=0,0,IF(C98&gt;=200%,C97*60%-C91*35%,IF(C98&gt;=100%,C97*50%-C91*15%,IF(C98&gt;=50%,C97*40%-C91*5%,IF(C98&lt;50%,C97*30%,0))))),0)</f>
        <v>25659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4" t="s">
        <v>454</v>
      </c>
      <c r="B101" s="3365"/>
      <c r="C101" s="3365"/>
      <c r="D101" s="3365"/>
      <c r="E101" s="3365"/>
      <c r="F101" s="3365"/>
      <c r="G101" s="3365"/>
      <c r="H101" s="3365"/>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2" t="s">
        <v>428</v>
      </c>
      <c r="B102" s="3363"/>
      <c r="C102" s="992"/>
      <c r="D102" s="992" t="s">
        <v>429</v>
      </c>
      <c r="E102" s="390" t="s">
        <v>438</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1824</v>
      </c>
      <c r="B103" s="381" t="s">
        <v>439</v>
      </c>
      <c r="C103" s="384">
        <f ca="1">ROUND(D63/(1+'数据-取费表'!C42),0)</f>
        <v>47269</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1830</v>
      </c>
      <c r="B104" s="347" t="s">
        <v>440</v>
      </c>
      <c r="C104" s="384">
        <f ca="1">IF(H106="仅含出让金",C105+C108+C109+C110+C111+C112,C105+C109+C110+C111+C112)</f>
        <v>974</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1831</v>
      </c>
      <c r="B105" s="375" t="s">
        <v>455</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1832</v>
      </c>
      <c r="B106" s="375" t="s">
        <v>456</v>
      </c>
      <c r="C106" s="415">
        <v>555</v>
      </c>
      <c r="D106" s="405"/>
      <c r="E106" s="416" t="s">
        <v>457</v>
      </c>
      <c r="F106" s="984"/>
      <c r="G106" s="417" t="s">
        <v>458</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5" t="s">
        <v>461</v>
      </c>
      <c r="C109" s="404">
        <f>IF(H109="——",IF(F1="现房",'剩余法-现房'!C18,'剩余法-待开发'!C18),I109)</f>
        <v>55</v>
      </c>
      <c r="D109" s="405"/>
      <c r="E109" s="3356" t="s">
        <v>462</v>
      </c>
      <c r="F109" s="3354"/>
      <c r="G109" s="3354"/>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5" t="s">
        <v>463</v>
      </c>
      <c r="C110" s="404">
        <f>ROUND((C105+C108+C109)*D110,0)</f>
        <v>63</v>
      </c>
      <c r="D110" s="405">
        <v>0.1</v>
      </c>
      <c r="E110" s="3356" t="s">
        <v>464</v>
      </c>
      <c r="F110" s="3354"/>
      <c r="G110" s="3354"/>
      <c r="H110" s="3355"/>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5" t="s">
        <v>450</v>
      </c>
      <c r="C111" s="404">
        <f ca="1">ROUND(D63*D111/(1+'数据-取费表'!C42),0)</f>
        <v>284</v>
      </c>
      <c r="D111" s="405">
        <f>'数据-取费表'!B43</f>
        <v>6.000000000000001E-3</v>
      </c>
      <c r="E111" s="3353" t="s">
        <v>2428</v>
      </c>
      <c r="F111" s="3354"/>
      <c r="G111" s="3354"/>
      <c r="H111" s="3355"/>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5" t="s">
        <v>465</v>
      </c>
      <c r="C112" s="404">
        <f>ROUND(C108*D112,0)</f>
        <v>0</v>
      </c>
      <c r="D112" s="405">
        <v>0.2</v>
      </c>
      <c r="E112" s="3356" t="s">
        <v>2453</v>
      </c>
      <c r="F112" s="3354"/>
      <c r="G112" s="3354"/>
      <c r="H112" s="3355"/>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1836</v>
      </c>
      <c r="B113" s="381" t="s">
        <v>451</v>
      </c>
      <c r="C113" s="384">
        <f ca="1">ROUND(C103-C104,0)</f>
        <v>46295</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1" t="s">
        <v>452</v>
      </c>
      <c r="C114" s="406">
        <f ca="1">IF(C113&lt;=0,0,C113/C104)</f>
        <v>47.530800821355236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1838</v>
      </c>
      <c r="B115" s="386" t="s">
        <v>453</v>
      </c>
      <c r="C115" s="407">
        <f ca="1">ROUND(IF(C113&lt;=0,0,IF(C114&gt;=200%,C113*60%-C104*35%,IF(C114&gt;=100%,C113*50%-C104*15%,IF(C114&gt;=50%,C113*40%-C104*5%,IF(C114&lt;50%,C113*30%,0))))),0)</f>
        <v>27436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C13" sqref="C13:J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467</v>
      </c>
      <c r="B2" s="507">
        <f>F68</f>
        <v>70842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9">
        <f>ROUND(B2*10000/'数据-汇总表'!E3,0)</f>
        <v>12281</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520</v>
      </c>
      <c r="B4" s="426">
        <f>IF(B48="单位面积地价",C50,ROUND(B2*10000/'数据-汇总表'!D3,0))</f>
        <v>39559</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2637</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521</v>
      </c>
      <c r="B6" s="512"/>
      <c r="C6" s="3407" t="s">
        <v>522</v>
      </c>
      <c r="D6" s="3408"/>
      <c r="E6" s="3407" t="s">
        <v>523</v>
      </c>
      <c r="F6" s="3408"/>
      <c r="G6" s="3407" t="s">
        <v>524</v>
      </c>
      <c r="H6" s="3408"/>
      <c r="I6" s="3407" t="s">
        <v>525</v>
      </c>
      <c r="J6" s="3408"/>
      <c r="K6" s="513" t="s">
        <v>526</v>
      </c>
      <c r="L6" s="2129"/>
      <c r="M6" s="2128"/>
      <c r="N6" s="2128"/>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30" ht="20.25">
      <c r="A7" s="514"/>
      <c r="B7" s="515"/>
      <c r="C7" s="3425" t="s">
        <v>3285</v>
      </c>
      <c r="D7" s="3424"/>
      <c r="E7" s="3423" t="s">
        <v>3282</v>
      </c>
      <c r="F7" s="3424"/>
      <c r="G7" s="3423" t="s">
        <v>3283</v>
      </c>
      <c r="H7" s="3424"/>
      <c r="I7" s="3423" t="s">
        <v>3284</v>
      </c>
      <c r="J7" s="3424"/>
      <c r="K7" s="513"/>
      <c r="L7" s="2129"/>
      <c r="M7" s="2128"/>
      <c r="N7" s="2128"/>
      <c r="O7" s="2130"/>
      <c r="P7" s="3411"/>
      <c r="Q7" s="3412"/>
      <c r="R7" s="3417"/>
      <c r="S7" s="3418"/>
      <c r="T7" s="3417"/>
      <c r="U7" s="3418"/>
      <c r="V7" s="3402"/>
      <c r="W7" s="3402"/>
      <c r="X7" s="1564"/>
      <c r="Y7" s="3417"/>
      <c r="Z7" s="3418"/>
      <c r="AA7" s="3405"/>
      <c r="AB7" s="3405"/>
      <c r="AC7" s="3405"/>
    </row>
    <row r="8" spans="1:30" ht="42" customHeight="1" thickBot="1">
      <c r="A8" s="514"/>
      <c r="B8" s="515"/>
      <c r="C8" s="3426" t="s">
        <v>3287</v>
      </c>
      <c r="D8" s="3427"/>
      <c r="E8" s="3426" t="s">
        <v>3326</v>
      </c>
      <c r="F8" s="3427"/>
      <c r="G8" s="3421" t="s">
        <v>3327</v>
      </c>
      <c r="H8" s="3422"/>
      <c r="I8" s="3421" t="s">
        <v>3328</v>
      </c>
      <c r="J8" s="3422"/>
      <c r="K8" s="513" t="s">
        <v>528</v>
      </c>
      <c r="L8" s="2129"/>
      <c r="M8" s="2128"/>
      <c r="N8" s="2128"/>
      <c r="O8" s="2130"/>
      <c r="P8" s="3413"/>
      <c r="Q8" s="3414"/>
      <c r="R8" s="3417"/>
      <c r="S8" s="3418"/>
      <c r="T8" s="3419"/>
      <c r="U8" s="3420"/>
      <c r="V8" s="3402"/>
      <c r="W8" s="3402"/>
      <c r="X8" s="1564"/>
      <c r="Y8" s="3419"/>
      <c r="Z8" s="3420"/>
      <c r="AA8" s="3406"/>
      <c r="AB8" s="3406"/>
      <c r="AC8" s="3406"/>
    </row>
    <row r="9" spans="1:30" s="1218" customFormat="1" ht="21" thickBot="1">
      <c r="A9" s="2908"/>
      <c r="B9" s="2915" t="s">
        <v>529</v>
      </c>
      <c r="C9" s="2907">
        <f>'数据-取费表'!B2</f>
        <v>43328</v>
      </c>
      <c r="D9" s="519">
        <v>100</v>
      </c>
      <c r="E9" s="520">
        <v>43021</v>
      </c>
      <c r="F9" s="521">
        <f>SUMIF(72:72,YEAR(E9)&amp;"-"&amp;INT((MONTH(E9)+2)/3),73:73)</f>
        <v>97</v>
      </c>
      <c r="G9" s="522">
        <v>43301</v>
      </c>
      <c r="H9" s="519">
        <f>SUMIF(72:72,YEAR(G9)&amp;"-"&amp;INT((MONTH(G9)+2)/3),73:73)</f>
        <v>100</v>
      </c>
      <c r="I9" s="522">
        <v>43301</v>
      </c>
      <c r="J9" s="519">
        <f>SUMIF(72:72,YEAR(I9)&amp;"-"&amp;INT((MONTH(I9)+2)/3),73:73)</f>
        <v>100</v>
      </c>
      <c r="K9" s="523"/>
      <c r="L9" s="2131"/>
      <c r="M9" s="2128"/>
      <c r="N9" s="2128"/>
      <c r="O9" s="2132"/>
      <c r="P9" s="3433" t="s">
        <v>530</v>
      </c>
      <c r="Q9" s="3435"/>
      <c r="R9" s="1565" t="s">
        <v>8</v>
      </c>
      <c r="S9" s="1566">
        <f t="shared" ref="S9:S17" si="0">F9</f>
        <v>97</v>
      </c>
      <c r="T9" s="1565" t="s">
        <v>8</v>
      </c>
      <c r="U9" s="1566">
        <f t="shared" ref="U9:U17" si="1">H9</f>
        <v>100</v>
      </c>
      <c r="V9" s="1565" t="s">
        <v>8</v>
      </c>
      <c r="W9" s="1566">
        <f t="shared" ref="W9:W17" si="2">J9</f>
        <v>100</v>
      </c>
      <c r="X9" s="1567"/>
      <c r="Y9" s="3433" t="s">
        <v>530</v>
      </c>
      <c r="Z9" s="3434"/>
      <c r="AA9" s="1568">
        <f>D9/F9</f>
        <v>1.0309278350515463</v>
      </c>
      <c r="AB9" s="1568">
        <f>D9/H9</f>
        <v>1</v>
      </c>
      <c r="AC9" s="1568">
        <f>D9/J9</f>
        <v>1</v>
      </c>
    </row>
    <row r="10" spans="1:30" s="1218" customFormat="1" ht="21" thickBot="1">
      <c r="A10" s="2909"/>
      <c r="B10" s="2916"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1"/>
      <c r="M10" s="2128"/>
      <c r="N10" s="2128"/>
      <c r="O10" s="2132"/>
      <c r="P10" s="3433" t="s">
        <v>533</v>
      </c>
      <c r="Q10" s="3434"/>
      <c r="R10" s="1565" t="s">
        <v>8</v>
      </c>
      <c r="S10" s="1566">
        <f t="shared" si="0"/>
        <v>100</v>
      </c>
      <c r="T10" s="1565" t="s">
        <v>8</v>
      </c>
      <c r="U10" s="1566">
        <f t="shared" si="1"/>
        <v>100</v>
      </c>
      <c r="V10" s="1565" t="s">
        <v>8</v>
      </c>
      <c r="W10" s="1566">
        <f t="shared" si="2"/>
        <v>100</v>
      </c>
      <c r="X10" s="1567"/>
      <c r="Y10" s="3433" t="s">
        <v>533</v>
      </c>
      <c r="Z10" s="3434"/>
      <c r="AA10" s="1568">
        <f t="shared" ref="AA10:AA47" si="3">D10/F10</f>
        <v>1</v>
      </c>
      <c r="AB10" s="1568">
        <f t="shared" ref="AB10:AB47" si="4">D10/H10</f>
        <v>1</v>
      </c>
      <c r="AC10" s="1568">
        <f t="shared" ref="AC10:AC47" si="5">D10/J10</f>
        <v>1</v>
      </c>
    </row>
    <row r="11" spans="1:30" s="1218" customFormat="1" ht="20.25">
      <c r="A11" s="2910"/>
      <c r="B11" s="2917" t="s">
        <v>2756</v>
      </c>
      <c r="C11" s="2904" t="s">
        <v>3318</v>
      </c>
      <c r="D11" s="253">
        <v>100</v>
      </c>
      <c r="E11" s="2904" t="s">
        <v>923</v>
      </c>
      <c r="F11" s="253">
        <f>SUMIF(77:77,E11,78:78)-SUMIF(77:77,C11,78:78)+100</f>
        <v>98</v>
      </c>
      <c r="G11" s="2904" t="s">
        <v>3318</v>
      </c>
      <c r="H11" s="253">
        <f>SUMIF(77:77,G11,78:78)-SUMIF(77:77,C11,78:78)+100</f>
        <v>100</v>
      </c>
      <c r="I11" s="2904" t="s">
        <v>923</v>
      </c>
      <c r="J11" s="253">
        <f>SUMIF(77:77,I11,78:78)-SUMIF(77:77,C11,78:78)+100</f>
        <v>98</v>
      </c>
      <c r="K11" s="523"/>
      <c r="L11" s="2131"/>
      <c r="M11" s="2128"/>
      <c r="N11" s="2128"/>
      <c r="O11" s="2133"/>
      <c r="P11" s="3401" t="s">
        <v>535</v>
      </c>
      <c r="Q11" s="1149" t="str">
        <f t="shared" ref="Q11:Q17" si="6">B11</f>
        <v>用途</v>
      </c>
      <c r="R11" s="1565" t="s">
        <v>8</v>
      </c>
      <c r="S11" s="1566">
        <f t="shared" si="0"/>
        <v>98</v>
      </c>
      <c r="T11" s="1565" t="s">
        <v>8</v>
      </c>
      <c r="U11" s="1566">
        <f t="shared" si="1"/>
        <v>100</v>
      </c>
      <c r="V11" s="1565" t="s">
        <v>8</v>
      </c>
      <c r="W11" s="1566">
        <f t="shared" si="2"/>
        <v>98</v>
      </c>
      <c r="X11" s="1567"/>
      <c r="Y11" s="3343" t="s">
        <v>536</v>
      </c>
      <c r="Z11" s="1148" t="str">
        <f t="shared" ref="Z11:Z17" si="7">Q11</f>
        <v>用途</v>
      </c>
      <c r="AA11" s="1568">
        <f t="shared" si="3"/>
        <v>1.0204081632653061</v>
      </c>
      <c r="AB11" s="1568">
        <f t="shared" si="4"/>
        <v>1</v>
      </c>
      <c r="AC11" s="1568">
        <f t="shared" si="5"/>
        <v>1.0204081632653061</v>
      </c>
    </row>
    <row r="12" spans="1:30" s="1336" customFormat="1" ht="27">
      <c r="A12" s="2911"/>
      <c r="B12" s="2916" t="s">
        <v>2757</v>
      </c>
      <c r="C12" s="908"/>
      <c r="D12" s="254">
        <v>100</v>
      </c>
      <c r="E12" s="528"/>
      <c r="F12" s="254">
        <f>ROUND(100/'数据-取费表'!G16,0)</f>
        <v>100</v>
      </c>
      <c r="G12" s="529"/>
      <c r="H12" s="254">
        <f>ROUND(100/'数据-取费表'!G16,0)</f>
        <v>100</v>
      </c>
      <c r="I12" s="529"/>
      <c r="J12" s="254">
        <f>ROUND(100/'数据-取费表'!G16,0)</f>
        <v>100</v>
      </c>
      <c r="K12" s="530"/>
      <c r="L12" s="2134"/>
      <c r="M12" s="2128"/>
      <c r="N12" s="2128"/>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30" ht="20.25">
      <c r="A13" s="2912"/>
      <c r="B13" s="2916" t="s">
        <v>2758</v>
      </c>
      <c r="C13" s="533">
        <v>2.2999999999999998</v>
      </c>
      <c r="D13" s="254">
        <v>100</v>
      </c>
      <c r="E13" s="532">
        <v>2.4</v>
      </c>
      <c r="F13" s="254">
        <f>LOOKUP(E13,82:82,83:83)-LOOKUP(C13,82:82,83:83)+100</f>
        <v>100</v>
      </c>
      <c r="G13" s="533">
        <v>2.8</v>
      </c>
      <c r="H13" s="254">
        <f>LOOKUP(G13,82:82,83:83)-LOOKUP(C13,82:82,83:83)+100</f>
        <v>100</v>
      </c>
      <c r="I13" s="532">
        <v>2</v>
      </c>
      <c r="J13" s="254">
        <f>LOOKUP(I13,82:82,83:83)-LOOKUP(C13,82:82,83:83)+100</f>
        <v>100</v>
      </c>
      <c r="K13" s="534">
        <v>2</v>
      </c>
      <c r="L13" s="2136"/>
      <c r="M13" s="2128"/>
      <c r="N13" s="2128"/>
      <c r="O13" s="2137"/>
      <c r="P13" s="3401"/>
      <c r="Q13" s="1149" t="str">
        <f t="shared" si="6"/>
        <v>容积率</v>
      </c>
      <c r="R13" s="1565" t="s">
        <v>8</v>
      </c>
      <c r="S13" s="1566">
        <f t="shared" si="0"/>
        <v>100</v>
      </c>
      <c r="T13" s="1565" t="s">
        <v>8</v>
      </c>
      <c r="U13" s="1566">
        <f t="shared" si="1"/>
        <v>100</v>
      </c>
      <c r="V13" s="1565" t="s">
        <v>8</v>
      </c>
      <c r="W13" s="1566">
        <f t="shared" si="2"/>
        <v>100</v>
      </c>
      <c r="X13" s="1567"/>
      <c r="Y13" s="3343"/>
      <c r="Z13" s="1148" t="str">
        <f t="shared" si="7"/>
        <v>容积率</v>
      </c>
      <c r="AA13" s="1568">
        <f t="shared" si="3"/>
        <v>1</v>
      </c>
      <c r="AB13" s="1568">
        <f t="shared" si="4"/>
        <v>1</v>
      </c>
      <c r="AC13" s="1568">
        <f t="shared" si="5"/>
        <v>1</v>
      </c>
    </row>
    <row r="14" spans="1:30" s="1218" customFormat="1" ht="21" thickBot="1">
      <c r="A14" s="2909"/>
      <c r="B14" s="2918" t="s">
        <v>2759</v>
      </c>
      <c r="C14" s="2905"/>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401"/>
      <c r="Q14" s="1149" t="str">
        <f t="shared" si="6"/>
        <v>配建</v>
      </c>
      <c r="R14" s="1565" t="s">
        <v>8</v>
      </c>
      <c r="S14" s="1566">
        <f t="shared" si="0"/>
        <v>100</v>
      </c>
      <c r="T14" s="1565" t="s">
        <v>8</v>
      </c>
      <c r="U14" s="1566">
        <f t="shared" si="1"/>
        <v>100</v>
      </c>
      <c r="V14" s="1565" t="s">
        <v>8</v>
      </c>
      <c r="W14" s="1566">
        <f t="shared" si="2"/>
        <v>100</v>
      </c>
      <c r="X14" s="1567"/>
      <c r="Y14" s="3343"/>
      <c r="Z14" s="1148" t="str">
        <f t="shared" si="7"/>
        <v>配建</v>
      </c>
      <c r="AA14" s="1568">
        <f>D14/F14</f>
        <v>1</v>
      </c>
      <c r="AB14" s="1568">
        <f>D14/H14</f>
        <v>1</v>
      </c>
      <c r="AC14" s="1568">
        <f>D14/J14</f>
        <v>1</v>
      </c>
    </row>
    <row r="15" spans="1:30" ht="20.25" hidden="1">
      <c r="A15" s="2913"/>
      <c r="B15" s="2919">
        <v>111</v>
      </c>
      <c r="C15" s="910"/>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D15/F15</f>
        <v>1</v>
      </c>
      <c r="AB15" s="1568">
        <f>D15/H15</f>
        <v>1</v>
      </c>
      <c r="AC15" s="1568">
        <f>D15/J15</f>
        <v>1</v>
      </c>
    </row>
    <row r="16" spans="1:30" ht="21" hidden="1" thickBot="1">
      <c r="A16" s="2914"/>
      <c r="B16" s="2920">
        <v>111</v>
      </c>
      <c r="C16" s="913"/>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D16/F16</f>
        <v>1</v>
      </c>
      <c r="AB16" s="1568">
        <f>D16/H16</f>
        <v>1</v>
      </c>
      <c r="AC16" s="1568">
        <f>D16/J16</f>
        <v>1</v>
      </c>
    </row>
    <row r="17" spans="1:29" ht="108">
      <c r="A17" s="2906" t="s">
        <v>2754</v>
      </c>
      <c r="B17" s="577" t="s">
        <v>295</v>
      </c>
      <c r="C17" s="547" t="str">
        <f>估价对象房地状况!C15</f>
        <v>估价对象周边居住用地比例较大、居住小区规模较大和社区发展完善程度好，综合评价居住社区成熟度好。</v>
      </c>
      <c r="D17" s="550">
        <v>100</v>
      </c>
      <c r="E17" s="3189" t="s">
        <v>3223</v>
      </c>
      <c r="F17" s="548">
        <f>SUMIF(90:90,E18,91:91)-SUMIF(90:90,C18,91:91)+100</f>
        <v>95</v>
      </c>
      <c r="G17" s="3189" t="s">
        <v>3228</v>
      </c>
      <c r="H17" s="548">
        <f>SUMIF(90:90,G18,91:91)-SUMIF(90:90,C18,91:91)+100</f>
        <v>95</v>
      </c>
      <c r="I17" s="3189" t="s">
        <v>3229</v>
      </c>
      <c r="J17" s="548">
        <f>SUMIF(90:90,I18,91:91)-SUMIF(90:90,C18,91:91)+100</f>
        <v>95</v>
      </c>
      <c r="K17" s="534">
        <v>5</v>
      </c>
      <c r="L17" s="2138"/>
      <c r="M17" s="2128"/>
      <c r="N17" s="2128"/>
      <c r="O17" s="2137"/>
      <c r="P17" s="3436" t="s">
        <v>540</v>
      </c>
      <c r="Q17" s="1569" t="str">
        <f t="shared" si="6"/>
        <v>居住社区成熟度</v>
      </c>
      <c r="R17" s="1570" t="s">
        <v>8</v>
      </c>
      <c r="S17" s="1571">
        <f t="shared" si="0"/>
        <v>95</v>
      </c>
      <c r="T17" s="1570" t="s">
        <v>8</v>
      </c>
      <c r="U17" s="1571">
        <f t="shared" si="1"/>
        <v>95</v>
      </c>
      <c r="V17" s="1570" t="s">
        <v>8</v>
      </c>
      <c r="W17" s="1571">
        <f t="shared" si="2"/>
        <v>95</v>
      </c>
      <c r="X17" s="1564"/>
      <c r="Y17" s="3436" t="s">
        <v>540</v>
      </c>
      <c r="Z17" s="1572" t="str">
        <f t="shared" si="7"/>
        <v>居住社区成熟度</v>
      </c>
      <c r="AA17" s="1573">
        <f t="shared" si="3"/>
        <v>1.0526315789473684</v>
      </c>
      <c r="AB17" s="1573">
        <f t="shared" si="4"/>
        <v>1.0526315789473684</v>
      </c>
      <c r="AC17" s="1573">
        <f t="shared" si="5"/>
        <v>1.0526315789473684</v>
      </c>
    </row>
    <row r="18" spans="1:29" ht="20.25">
      <c r="A18" s="531"/>
      <c r="B18" s="552"/>
      <c r="C18" s="553" t="s">
        <v>3021</v>
      </c>
      <c r="D18" s="556"/>
      <c r="E18" s="557" t="s">
        <v>3002</v>
      </c>
      <c r="F18" s="554"/>
      <c r="G18" s="555" t="s">
        <v>3002</v>
      </c>
      <c r="H18" s="558"/>
      <c r="I18" s="557" t="s">
        <v>3002</v>
      </c>
      <c r="J18" s="554"/>
      <c r="K18" s="530"/>
      <c r="L18" s="2138"/>
      <c r="M18" s="2128"/>
      <c r="N18" s="2128"/>
      <c r="O18" s="2137"/>
      <c r="P18" s="3437"/>
      <c r="Q18" s="1569"/>
      <c r="R18" s="1570"/>
      <c r="S18" s="1571"/>
      <c r="T18" s="1570"/>
      <c r="U18" s="1571"/>
      <c r="V18" s="1570"/>
      <c r="W18" s="1571"/>
      <c r="X18" s="1564"/>
      <c r="Y18" s="3437"/>
      <c r="Z18" s="1572"/>
      <c r="AA18" s="1573">
        <v>1</v>
      </c>
      <c r="AB18" s="1573">
        <v>1</v>
      </c>
      <c r="AC18" s="1573">
        <v>1</v>
      </c>
    </row>
    <row r="19" spans="1:29" ht="85.5">
      <c r="A19" s="531"/>
      <c r="B19" s="559" t="s">
        <v>541</v>
      </c>
      <c r="C19" s="560" t="str">
        <f>估价对象房地状况!C16</f>
        <v>估价对象位于福建省鼓楼区龙庭路，周边商业氛围成熟度较好，人流量较大，商业繁华较好。</v>
      </c>
      <c r="D19" s="562">
        <v>100</v>
      </c>
      <c r="E19" s="563"/>
      <c r="F19" s="558">
        <f>SUMIF(92:92,E20,93:93)-SUMIF(92:92,C20,93:93)+100</f>
        <v>98</v>
      </c>
      <c r="G19" s="561"/>
      <c r="H19" s="564">
        <f>SUMIF(92:92,G20,93:93)-SUMIF(92:92,C20,93:93)+100</f>
        <v>100</v>
      </c>
      <c r="I19" s="563"/>
      <c r="J19" s="564">
        <f>SUMIF(92:92,I20,93:93)-SUMIF(92:92,C20,93:93)+100</f>
        <v>100</v>
      </c>
      <c r="K19" s="534">
        <v>2</v>
      </c>
      <c r="L19" s="2138"/>
      <c r="M19" s="2128"/>
      <c r="N19" s="2128"/>
      <c r="O19" s="2137"/>
      <c r="P19" s="3437"/>
      <c r="Q19" s="1569" t="str">
        <f>B19</f>
        <v>商业繁华度</v>
      </c>
      <c r="R19" s="1570" t="s">
        <v>8</v>
      </c>
      <c r="S19" s="1571">
        <f>F19</f>
        <v>98</v>
      </c>
      <c r="T19" s="1570" t="s">
        <v>8</v>
      </c>
      <c r="U19" s="1571">
        <f>H19</f>
        <v>100</v>
      </c>
      <c r="V19" s="1570" t="s">
        <v>8</v>
      </c>
      <c r="W19" s="1571">
        <f>J19</f>
        <v>100</v>
      </c>
      <c r="X19" s="1564"/>
      <c r="Y19" s="3437"/>
      <c r="Z19" s="1572" t="str">
        <f>Q19</f>
        <v>商业繁华度</v>
      </c>
      <c r="AA19" s="1573">
        <f t="shared" si="3"/>
        <v>1.0204081632653061</v>
      </c>
      <c r="AB19" s="1573">
        <f t="shared" si="4"/>
        <v>1</v>
      </c>
      <c r="AC19" s="1573">
        <f t="shared" si="5"/>
        <v>1</v>
      </c>
    </row>
    <row r="20" spans="1:29" ht="20.25">
      <c r="A20" s="531"/>
      <c r="B20" s="565"/>
      <c r="C20" s="566" t="s">
        <v>3002</v>
      </c>
      <c r="D20" s="562"/>
      <c r="E20" s="568" t="s">
        <v>3003</v>
      </c>
      <c r="F20" s="558"/>
      <c r="G20" s="567" t="s">
        <v>3002</v>
      </c>
      <c r="H20" s="554"/>
      <c r="I20" s="568" t="s">
        <v>3002</v>
      </c>
      <c r="J20" s="554"/>
      <c r="K20" s="530"/>
      <c r="L20" s="2138"/>
      <c r="M20" s="2128"/>
      <c r="N20" s="2128"/>
      <c r="O20" s="2137"/>
      <c r="P20" s="3437"/>
      <c r="Q20" s="1569"/>
      <c r="R20" s="1570"/>
      <c r="S20" s="1571"/>
      <c r="T20" s="1570"/>
      <c r="U20" s="1571"/>
      <c r="V20" s="1570"/>
      <c r="W20" s="1571"/>
      <c r="X20" s="1564"/>
      <c r="Y20" s="3437"/>
      <c r="Z20" s="1572"/>
      <c r="AA20" s="1573">
        <v>1</v>
      </c>
      <c r="AB20" s="1573">
        <v>1</v>
      </c>
      <c r="AC20" s="1573">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37"/>
      <c r="Q21" s="1569" t="str">
        <f>B21</f>
        <v>办公集聚程度</v>
      </c>
      <c r="R21" s="1570" t="s">
        <v>8</v>
      </c>
      <c r="S21" s="1571">
        <f>F21</f>
        <v>100</v>
      </c>
      <c r="T21" s="1570" t="s">
        <v>8</v>
      </c>
      <c r="U21" s="1571">
        <f>H21</f>
        <v>100</v>
      </c>
      <c r="V21" s="1570" t="s">
        <v>8</v>
      </c>
      <c r="W21" s="1571">
        <f>J21</f>
        <v>100</v>
      </c>
      <c r="X21" s="1564"/>
      <c r="Y21" s="3437"/>
      <c r="Z21" s="1572" t="str">
        <f>Q21</f>
        <v>办公集聚程度</v>
      </c>
      <c r="AA21" s="1573">
        <f t="shared" si="3"/>
        <v>1</v>
      </c>
      <c r="AB21" s="1573">
        <f t="shared" si="4"/>
        <v>1</v>
      </c>
      <c r="AC21" s="1573">
        <f t="shared" si="5"/>
        <v>1</v>
      </c>
    </row>
    <row r="22" spans="1:29" ht="20.25" hidden="1">
      <c r="A22" s="531"/>
      <c r="B22" s="565"/>
      <c r="C22" s="553"/>
      <c r="D22" s="556"/>
      <c r="E22" s="557"/>
      <c r="F22" s="554"/>
      <c r="G22" s="555"/>
      <c r="H22" s="554"/>
      <c r="I22" s="557"/>
      <c r="J22" s="554"/>
      <c r="K22" s="530"/>
      <c r="L22" s="2138"/>
      <c r="M22" s="2128"/>
      <c r="N22" s="2128"/>
      <c r="O22" s="2137"/>
      <c r="P22" s="3437"/>
      <c r="Q22" s="1569"/>
      <c r="R22" s="1570"/>
      <c r="S22" s="1571"/>
      <c r="T22" s="1570"/>
      <c r="U22" s="1571"/>
      <c r="V22" s="1570"/>
      <c r="W22" s="1571"/>
      <c r="X22" s="1564"/>
      <c r="Y22" s="3437"/>
      <c r="Z22" s="1572"/>
      <c r="AA22" s="1573">
        <v>1</v>
      </c>
      <c r="AB22" s="1573">
        <v>1</v>
      </c>
      <c r="AC22" s="1573">
        <v>1</v>
      </c>
    </row>
    <row r="23" spans="1:29" ht="128.25">
      <c r="A23" s="531"/>
      <c r="B23" s="559" t="s">
        <v>543</v>
      </c>
      <c r="C23" s="572" t="str">
        <f>估价对象房地状况!C18</f>
        <v>估价对象周边道路密集程度较好、公共交通通达情况较好、有7、8、19等公共交通，停车便捷程度较好，综合评价交通便捷度较好。</v>
      </c>
      <c r="D23" s="562">
        <v>100</v>
      </c>
      <c r="E23" s="563" t="s">
        <v>3224</v>
      </c>
      <c r="F23" s="564">
        <f>SUMIF(96:96,E24,97:97)-SUMIF(96:96,C24,97:97)+100</f>
        <v>98</v>
      </c>
      <c r="G23" s="563" t="s">
        <v>3301</v>
      </c>
      <c r="H23" s="558">
        <f>SUMIF(96:96,G24,97:97)-SUMIF(96:96,C24,97:97)+100</f>
        <v>98</v>
      </c>
      <c r="I23" s="563" t="s">
        <v>3230</v>
      </c>
      <c r="J23" s="558">
        <f>SUMIF(96:96,I24,97:97)-SUMIF(96:96,C24,97:97)+100</f>
        <v>98</v>
      </c>
      <c r="K23" s="534">
        <v>2</v>
      </c>
      <c r="L23" s="2138"/>
      <c r="M23" s="2128"/>
      <c r="N23" s="2128"/>
      <c r="O23" s="2137"/>
      <c r="P23" s="3437"/>
      <c r="Q23" s="1569" t="str">
        <f>B23</f>
        <v>交通便捷度</v>
      </c>
      <c r="R23" s="1570" t="s">
        <v>8</v>
      </c>
      <c r="S23" s="1571">
        <f>F23</f>
        <v>98</v>
      </c>
      <c r="T23" s="1570" t="s">
        <v>8</v>
      </c>
      <c r="U23" s="1571">
        <f>H23</f>
        <v>98</v>
      </c>
      <c r="V23" s="1570" t="s">
        <v>8</v>
      </c>
      <c r="W23" s="1571">
        <f>J23</f>
        <v>98</v>
      </c>
      <c r="X23" s="1564"/>
      <c r="Y23" s="3437"/>
      <c r="Z23" s="1572" t="str">
        <f>Q23</f>
        <v>交通便捷度</v>
      </c>
      <c r="AA23" s="1573">
        <f t="shared" si="3"/>
        <v>1.0204081632653061</v>
      </c>
      <c r="AB23" s="1573">
        <f t="shared" si="4"/>
        <v>1.0204081632653061</v>
      </c>
      <c r="AC23" s="1573">
        <f t="shared" si="5"/>
        <v>1.0204081632653061</v>
      </c>
    </row>
    <row r="24" spans="1:29" ht="20.25">
      <c r="A24" s="531"/>
      <c r="B24" s="577"/>
      <c r="C24" s="553" t="s">
        <v>3002</v>
      </c>
      <c r="D24" s="556"/>
      <c r="E24" s="557" t="s">
        <v>3003</v>
      </c>
      <c r="F24" s="554"/>
      <c r="G24" s="555" t="s">
        <v>3003</v>
      </c>
      <c r="H24" s="554"/>
      <c r="I24" s="557" t="s">
        <v>3003</v>
      </c>
      <c r="J24" s="554"/>
      <c r="K24" s="530"/>
      <c r="L24" s="2138"/>
      <c r="M24" s="2128"/>
      <c r="N24" s="2128"/>
      <c r="O24" s="2137"/>
      <c r="P24" s="3437"/>
      <c r="Q24" s="1569"/>
      <c r="R24" s="1570"/>
      <c r="S24" s="1571"/>
      <c r="T24" s="1570"/>
      <c r="U24" s="1571"/>
      <c r="V24" s="1570"/>
      <c r="W24" s="1571"/>
      <c r="X24" s="1564"/>
      <c r="Y24" s="3437"/>
      <c r="Z24" s="1572"/>
      <c r="AA24" s="1573">
        <v>1</v>
      </c>
      <c r="AB24" s="1573">
        <v>1</v>
      </c>
      <c r="AC24" s="1573">
        <v>1</v>
      </c>
    </row>
    <row r="25" spans="1:29" ht="71.25">
      <c r="A25" s="514"/>
      <c r="B25" s="258" t="s">
        <v>544</v>
      </c>
      <c r="C25" s="572" t="str">
        <f>估价对象房地状况!C19</f>
        <v>区域内多为住宅用地，土地利用方向较一致，对土地利用无不利影响。</v>
      </c>
      <c r="D25" s="562">
        <v>100</v>
      </c>
      <c r="E25" s="3208" t="s">
        <v>3225</v>
      </c>
      <c r="F25" s="564">
        <f>SUMIF(98:98,E26,99:99)-SUMIF(98:98,C26,99:99)+100</f>
        <v>100</v>
      </c>
      <c r="G25" s="3188" t="s">
        <v>3197</v>
      </c>
      <c r="H25" s="558">
        <f>SUMIF(98:98,G26,99:99)-SUMIF(98:98,C26,99:99)+100</f>
        <v>100</v>
      </c>
      <c r="I25" s="3208" t="s">
        <v>3225</v>
      </c>
      <c r="J25" s="558">
        <f>SUMIF(98:98,I26,99:99)-SUMIF(98:98,C26,99:99)+100</f>
        <v>100</v>
      </c>
      <c r="K25" s="534">
        <v>2</v>
      </c>
      <c r="L25" s="2138"/>
      <c r="M25" s="2128"/>
      <c r="N25" s="2128"/>
      <c r="O25" s="2137"/>
      <c r="P25" s="3437"/>
      <c r="Q25" s="1569" t="str">
        <f t="shared" ref="Q25:Q39" si="8">B25</f>
        <v>区域土地利用方向</v>
      </c>
      <c r="R25" s="1570" t="s">
        <v>8</v>
      </c>
      <c r="S25" s="1571">
        <f>F25</f>
        <v>100</v>
      </c>
      <c r="T25" s="1570" t="s">
        <v>8</v>
      </c>
      <c r="U25" s="1571">
        <f>H25</f>
        <v>100</v>
      </c>
      <c r="V25" s="1570" t="s">
        <v>8</v>
      </c>
      <c r="W25" s="1571">
        <f>J25</f>
        <v>100</v>
      </c>
      <c r="X25" s="1564"/>
      <c r="Y25" s="3437"/>
      <c r="Z25" s="1572" t="str">
        <f>Q25</f>
        <v>区域土地利用方向</v>
      </c>
      <c r="AA25" s="1573">
        <f t="shared" si="3"/>
        <v>1</v>
      </c>
      <c r="AB25" s="1573">
        <f t="shared" si="4"/>
        <v>1</v>
      </c>
      <c r="AC25" s="1573">
        <f t="shared" si="5"/>
        <v>1</v>
      </c>
    </row>
    <row r="26" spans="1:29" ht="20.25">
      <c r="A26" s="514"/>
      <c r="B26" s="1005"/>
      <c r="C26" s="553" t="s">
        <v>3002</v>
      </c>
      <c r="D26" s="556"/>
      <c r="E26" s="553" t="s">
        <v>3002</v>
      </c>
      <c r="F26" s="554"/>
      <c r="G26" s="553" t="s">
        <v>3002</v>
      </c>
      <c r="H26" s="554"/>
      <c r="I26" s="553" t="s">
        <v>3002</v>
      </c>
      <c r="J26" s="554"/>
      <c r="K26" s="530"/>
      <c r="L26" s="2138"/>
      <c r="M26" s="2128"/>
      <c r="N26" s="2128"/>
      <c r="O26" s="2137"/>
      <c r="P26" s="3437"/>
      <c r="Q26" s="1569"/>
      <c r="R26" s="1570"/>
      <c r="S26" s="1571"/>
      <c r="T26" s="1570"/>
      <c r="U26" s="1571"/>
      <c r="V26" s="1570"/>
      <c r="W26" s="1571"/>
      <c r="X26" s="1564"/>
      <c r="Y26" s="3437"/>
      <c r="Z26" s="1572"/>
      <c r="AA26" s="1573"/>
      <c r="AB26" s="1573"/>
      <c r="AC26" s="1573"/>
    </row>
    <row r="27" spans="1:29" ht="108">
      <c r="A27" s="514"/>
      <c r="B27" s="577" t="s">
        <v>545</v>
      </c>
      <c r="C27" s="560" t="str">
        <f>估价对象房地状况!C20</f>
        <v>区域自然环境：爱民园、于山风景区等；人文环境：孝悌图书馆、福建大剧院；综合评价环境状况较好。</v>
      </c>
      <c r="D27" s="562">
        <v>100</v>
      </c>
      <c r="E27" s="3208" t="s">
        <v>3226</v>
      </c>
      <c r="F27" s="558">
        <f>SUMIF(100:100,E28,101:101)-SUMIF(100:100,C28,101:101)+100</f>
        <v>98</v>
      </c>
      <c r="G27" s="3208" t="s">
        <v>3304</v>
      </c>
      <c r="H27" s="558">
        <f>SUMIF(100:100,G28,101:101)-SUMIF(100:100,C28,101:101)+100</f>
        <v>100</v>
      </c>
      <c r="I27" s="3208" t="s">
        <v>3199</v>
      </c>
      <c r="J27" s="558">
        <f>SUMIF(100:100,I28,101:101)-SUMIF(100:100,C28,101:101)+100</f>
        <v>100</v>
      </c>
      <c r="K27" s="534">
        <v>2</v>
      </c>
      <c r="L27" s="2138"/>
      <c r="M27" s="2128"/>
      <c r="N27" s="2128"/>
      <c r="O27" s="2137"/>
      <c r="P27" s="3437"/>
      <c r="Q27" s="1569" t="str">
        <f t="shared" si="8"/>
        <v>自然及人文环境状况</v>
      </c>
      <c r="R27" s="1570" t="s">
        <v>8</v>
      </c>
      <c r="S27" s="1571">
        <f>F27</f>
        <v>98</v>
      </c>
      <c r="T27" s="1570" t="s">
        <v>8</v>
      </c>
      <c r="U27" s="1571">
        <f>H27</f>
        <v>100</v>
      </c>
      <c r="V27" s="1570" t="s">
        <v>8</v>
      </c>
      <c r="W27" s="1571">
        <f>J27</f>
        <v>100</v>
      </c>
      <c r="X27" s="1564"/>
      <c r="Y27" s="3437"/>
      <c r="Z27" s="1572" t="str">
        <f>Q27</f>
        <v>自然及人文环境状况</v>
      </c>
      <c r="AA27" s="1573">
        <f t="shared" si="3"/>
        <v>1.0204081632653061</v>
      </c>
      <c r="AB27" s="1573">
        <f t="shared" si="4"/>
        <v>1</v>
      </c>
      <c r="AC27" s="1573">
        <f t="shared" si="5"/>
        <v>1</v>
      </c>
    </row>
    <row r="28" spans="1:29" ht="20.25">
      <c r="A28" s="514"/>
      <c r="B28" s="565"/>
      <c r="C28" s="553" t="s">
        <v>3002</v>
      </c>
      <c r="D28" s="556"/>
      <c r="E28" s="575" t="s">
        <v>3003</v>
      </c>
      <c r="F28" s="554"/>
      <c r="G28" s="553" t="s">
        <v>3002</v>
      </c>
      <c r="H28" s="554"/>
      <c r="I28" s="575" t="s">
        <v>3002</v>
      </c>
      <c r="J28" s="554"/>
      <c r="K28" s="530"/>
      <c r="L28" s="2138"/>
      <c r="M28" s="2128"/>
      <c r="N28" s="2128"/>
      <c r="O28" s="2137"/>
      <c r="P28" s="3437"/>
      <c r="Q28" s="1569"/>
      <c r="R28" s="1570"/>
      <c r="S28" s="1571"/>
      <c r="T28" s="1570"/>
      <c r="U28" s="1571"/>
      <c r="V28" s="1570"/>
      <c r="W28" s="1571"/>
      <c r="X28" s="1564"/>
      <c r="Y28" s="3437"/>
      <c r="Z28" s="1572"/>
      <c r="AA28" s="1573">
        <v>1</v>
      </c>
      <c r="AB28" s="1573">
        <v>1</v>
      </c>
      <c r="AC28" s="1573">
        <v>1</v>
      </c>
    </row>
    <row r="29" spans="1:29" s="1218" customFormat="1" ht="228">
      <c r="A29" s="576"/>
      <c r="B29" s="2587" t="s">
        <v>2548</v>
      </c>
      <c r="C29" s="572"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D29" s="562">
        <v>100</v>
      </c>
      <c r="E29" s="563" t="s">
        <v>3227</v>
      </c>
      <c r="F29" s="558">
        <f>SUMIF(102:102,E30,103:103)-SUMIF(102:102,C30,103:103)+100</f>
        <v>98</v>
      </c>
      <c r="G29" s="563" t="s">
        <v>3289</v>
      </c>
      <c r="H29" s="558">
        <f>SUMIF(102:102,G30,103:103)-SUMIF(102:102,C30,103:103)+100</f>
        <v>98</v>
      </c>
      <c r="I29" s="3208" t="s">
        <v>3290</v>
      </c>
      <c r="J29" s="558">
        <f>SUMIF(102:102,I30,103:103)-SUMIF(102:102,C30,103:103)+100</f>
        <v>98</v>
      </c>
      <c r="K29" s="534">
        <v>2</v>
      </c>
      <c r="L29" s="2131"/>
      <c r="M29" s="2128"/>
      <c r="N29" s="2128"/>
      <c r="O29" s="2133"/>
      <c r="P29" s="3437"/>
      <c r="Q29" s="1149" t="str">
        <f t="shared" si="8"/>
        <v>公共配套设施</v>
      </c>
      <c r="R29" s="1565" t="s">
        <v>8</v>
      </c>
      <c r="S29" s="1566">
        <f>F29</f>
        <v>98</v>
      </c>
      <c r="T29" s="1565" t="s">
        <v>8</v>
      </c>
      <c r="U29" s="1566">
        <f>H29</f>
        <v>98</v>
      </c>
      <c r="V29" s="1565" t="s">
        <v>8</v>
      </c>
      <c r="W29" s="1566">
        <f>J29</f>
        <v>98</v>
      </c>
      <c r="X29" s="1567"/>
      <c r="Y29" s="3437"/>
      <c r="Z29" s="1148" t="str">
        <f>Q29</f>
        <v>公共配套设施</v>
      </c>
      <c r="AA29" s="1573">
        <f>D29/F29</f>
        <v>1.0204081632653061</v>
      </c>
      <c r="AB29" s="1573">
        <f>D29/H29</f>
        <v>1.0204081632653061</v>
      </c>
      <c r="AC29" s="1573">
        <f>D29/J29</f>
        <v>1.0204081632653061</v>
      </c>
    </row>
    <row r="30" spans="1:29" s="1218" customFormat="1" ht="20.25">
      <c r="A30" s="576"/>
      <c r="B30" s="565"/>
      <c r="C30" s="578" t="s">
        <v>3021</v>
      </c>
      <c r="D30" s="556"/>
      <c r="E30" s="575" t="s">
        <v>3002</v>
      </c>
      <c r="F30" s="554"/>
      <c r="G30" s="553" t="s">
        <v>3002</v>
      </c>
      <c r="H30" s="554"/>
      <c r="I30" s="575" t="s">
        <v>3002</v>
      </c>
      <c r="J30" s="554"/>
      <c r="K30" s="530"/>
      <c r="L30" s="2131"/>
      <c r="M30" s="2128"/>
      <c r="N30" s="2128"/>
      <c r="O30" s="2133"/>
      <c r="P30" s="3437"/>
      <c r="Q30" s="1149"/>
      <c r="R30" s="1565"/>
      <c r="S30" s="1566"/>
      <c r="T30" s="1565"/>
      <c r="U30" s="1566"/>
      <c r="V30" s="1565"/>
      <c r="W30" s="1566"/>
      <c r="X30" s="1567"/>
      <c r="Y30" s="3437"/>
      <c r="Z30" s="1148"/>
      <c r="AA30" s="1573">
        <v>1</v>
      </c>
      <c r="AB30" s="1573">
        <v>1</v>
      </c>
      <c r="AC30" s="1573">
        <v>1</v>
      </c>
    </row>
    <row r="31" spans="1:29" s="1218" customFormat="1" ht="42.75">
      <c r="A31" s="576"/>
      <c r="B31" s="2587" t="s">
        <v>2549</v>
      </c>
      <c r="C31" s="572" t="str">
        <f>估价对象房地状况!C22</f>
        <v>估价对象所在区域基础设施水平达到“六通”。</v>
      </c>
      <c r="D31" s="562">
        <v>100</v>
      </c>
      <c r="E31" s="563" t="s">
        <v>3231</v>
      </c>
      <c r="F31" s="558">
        <f>SUMIF(104:104,E32,105:105)-SUMIF(104:104,C32,105:105)+100</f>
        <v>100</v>
      </c>
      <c r="G31" s="561" t="s">
        <v>3198</v>
      </c>
      <c r="H31" s="558">
        <f>SUMIF(104:104,G32,105:105)-SUMIF(104:104,C32,105:105)+100</f>
        <v>100</v>
      </c>
      <c r="I31" s="563" t="s">
        <v>3198</v>
      </c>
      <c r="J31" s="558">
        <f>SUMIF(104:104,I32,105:105)-SUMIF(104:104,C32,105:105)+100</f>
        <v>100</v>
      </c>
      <c r="K31" s="534"/>
      <c r="L31" s="2131"/>
      <c r="M31" s="2128"/>
      <c r="N31" s="2128"/>
      <c r="O31" s="2133"/>
      <c r="P31" s="3437"/>
      <c r="Q31" s="2574" t="str">
        <f t="shared" ref="Q31" si="9">B31</f>
        <v>基础设施水平</v>
      </c>
      <c r="R31" s="1565" t="s">
        <v>8</v>
      </c>
      <c r="S31" s="1566">
        <f>F31</f>
        <v>100</v>
      </c>
      <c r="T31" s="1565" t="s">
        <v>8</v>
      </c>
      <c r="U31" s="1566">
        <f>H31</f>
        <v>100</v>
      </c>
      <c r="V31" s="1565" t="s">
        <v>8</v>
      </c>
      <c r="W31" s="1566">
        <f>J31</f>
        <v>100</v>
      </c>
      <c r="X31" s="1567"/>
      <c r="Y31" s="3437"/>
      <c r="Z31" s="2571" t="str">
        <f>Q31</f>
        <v>基础设施水平</v>
      </c>
      <c r="AA31" s="1573">
        <f>D31/F31</f>
        <v>1</v>
      </c>
      <c r="AB31" s="1573">
        <f>D31/H31</f>
        <v>1</v>
      </c>
      <c r="AC31" s="1573">
        <f>D31/J31</f>
        <v>1</v>
      </c>
    </row>
    <row r="32" spans="1:29" s="1218" customFormat="1" ht="20.25">
      <c r="A32" s="576"/>
      <c r="B32" s="565"/>
      <c r="C32" s="578" t="s">
        <v>3004</v>
      </c>
      <c r="D32" s="556"/>
      <c r="E32" s="2588" t="s">
        <v>3004</v>
      </c>
      <c r="F32" s="554"/>
      <c r="G32" s="2588" t="s">
        <v>3004</v>
      </c>
      <c r="H32" s="554"/>
      <c r="I32" s="2588" t="s">
        <v>3004</v>
      </c>
      <c r="J32" s="554"/>
      <c r="K32" s="530"/>
      <c r="L32" s="2131"/>
      <c r="M32" s="2128"/>
      <c r="N32" s="2128"/>
      <c r="O32" s="2133"/>
      <c r="P32" s="3437"/>
      <c r="Q32" s="2574"/>
      <c r="R32" s="1565"/>
      <c r="S32" s="1566"/>
      <c r="T32" s="1565"/>
      <c r="U32" s="1566"/>
      <c r="V32" s="1565"/>
      <c r="W32" s="1566"/>
      <c r="X32" s="1567"/>
      <c r="Y32" s="3437"/>
      <c r="Z32" s="2571"/>
      <c r="AA32" s="1573">
        <v>1</v>
      </c>
      <c r="AB32" s="1573">
        <v>1</v>
      </c>
      <c r="AC32" s="1573">
        <v>1</v>
      </c>
    </row>
    <row r="33" spans="1:29" ht="20.25">
      <c r="A33" s="531"/>
      <c r="B33" s="565" t="s">
        <v>547</v>
      </c>
      <c r="C33" s="579" t="s">
        <v>3001</v>
      </c>
      <c r="D33" s="574">
        <v>100</v>
      </c>
      <c r="E33" s="582" t="s">
        <v>3001</v>
      </c>
      <c r="F33" s="539">
        <f>SUMIF(106:106,E33,107:107)-SUMIF(106:106,C33,107:107)+100</f>
        <v>100</v>
      </c>
      <c r="G33" s="579" t="s">
        <v>3171</v>
      </c>
      <c r="H33" s="539">
        <f>SUMIF(106:106,G33,107:107)-SUMIF(106:106,C33,107:107)+100</f>
        <v>97</v>
      </c>
      <c r="I33" s="579" t="s">
        <v>3001</v>
      </c>
      <c r="J33" s="539">
        <f>SUMIF(106:106,I33,107:107)-SUMIF(106:106,C33,107:107)+100</f>
        <v>100</v>
      </c>
      <c r="K33" s="534">
        <v>3</v>
      </c>
      <c r="L33" s="2138"/>
      <c r="M33" s="2128"/>
      <c r="N33" s="2128"/>
      <c r="O33" s="2137"/>
      <c r="P33" s="3437"/>
      <c r="Q33" s="1569" t="str">
        <f t="shared" si="8"/>
        <v>临街状况</v>
      </c>
      <c r="R33" s="1570" t="s">
        <v>8</v>
      </c>
      <c r="S33" s="1571">
        <f t="shared" ref="S33:S47" si="10">F33</f>
        <v>100</v>
      </c>
      <c r="T33" s="1570" t="s">
        <v>8</v>
      </c>
      <c r="U33" s="1571">
        <f t="shared" ref="U33:U47" si="11">H33</f>
        <v>97</v>
      </c>
      <c r="V33" s="1570" t="s">
        <v>8</v>
      </c>
      <c r="W33" s="1571">
        <f t="shared" ref="W33:W47" si="12">J33</f>
        <v>100</v>
      </c>
      <c r="X33" s="1564"/>
      <c r="Y33" s="3437"/>
      <c r="Z33" s="1572" t="str">
        <f t="shared" ref="Z33:Z47" si="13">Q33</f>
        <v>临街状况</v>
      </c>
      <c r="AA33" s="1573">
        <f t="shared" si="3"/>
        <v>1</v>
      </c>
      <c r="AB33" s="1573">
        <f t="shared" si="4"/>
        <v>1.0309278350515463</v>
      </c>
      <c r="AC33" s="1573">
        <f t="shared" si="5"/>
        <v>1</v>
      </c>
    </row>
    <row r="34" spans="1:29" ht="27.75">
      <c r="A34" s="531"/>
      <c r="B34" s="577" t="s">
        <v>548</v>
      </c>
      <c r="C34" s="561"/>
      <c r="D34" s="562">
        <v>100</v>
      </c>
      <c r="E34" s="561" t="s">
        <v>3232</v>
      </c>
      <c r="F34" s="558">
        <f>SUMIF(108:108,E35,109:109)-SUMIF(108:108,C35,109:109)+100</f>
        <v>100</v>
      </c>
      <c r="G34" s="3188" t="s">
        <v>3233</v>
      </c>
      <c r="H34" s="558">
        <f>SUMIF(108:108,G35,109:109)-SUMIF(108:108,C35,109:109)+100</f>
        <v>102</v>
      </c>
      <c r="I34" s="563"/>
      <c r="J34" s="558">
        <f>SUMIF(108:108,I35,109:109)-SUMIF(108:108,C35,109:109)+100</f>
        <v>100</v>
      </c>
      <c r="K34" s="534">
        <v>2</v>
      </c>
      <c r="L34" s="2138"/>
      <c r="M34" s="2128"/>
      <c r="N34" s="2128"/>
      <c r="O34" s="2137"/>
      <c r="P34" s="3437"/>
      <c r="Q34" s="1569" t="str">
        <f t="shared" si="8"/>
        <v>毗邻道路的类型与等级</v>
      </c>
      <c r="R34" s="1570" t="s">
        <v>8</v>
      </c>
      <c r="S34" s="1571">
        <f t="shared" si="10"/>
        <v>100</v>
      </c>
      <c r="T34" s="1570" t="s">
        <v>8</v>
      </c>
      <c r="U34" s="1571">
        <f t="shared" si="11"/>
        <v>102</v>
      </c>
      <c r="V34" s="1570" t="s">
        <v>8</v>
      </c>
      <c r="W34" s="1571">
        <f t="shared" si="12"/>
        <v>100</v>
      </c>
      <c r="X34" s="1564"/>
      <c r="Y34" s="3437"/>
      <c r="Z34" s="1572" t="str">
        <f t="shared" si="13"/>
        <v>毗邻道路的类型与等级</v>
      </c>
      <c r="AA34" s="1573">
        <f t="shared" si="3"/>
        <v>1</v>
      </c>
      <c r="AB34" s="1573">
        <f t="shared" si="4"/>
        <v>0.98039215686274506</v>
      </c>
      <c r="AC34" s="1573">
        <f t="shared" si="5"/>
        <v>1</v>
      </c>
    </row>
    <row r="35" spans="1:29" ht="20.25">
      <c r="A35" s="531"/>
      <c r="B35" s="565"/>
      <c r="C35" s="553" t="s">
        <v>3177</v>
      </c>
      <c r="D35" s="556"/>
      <c r="E35" s="553" t="s">
        <v>3177</v>
      </c>
      <c r="F35" s="554"/>
      <c r="G35" s="553" t="s">
        <v>3175</v>
      </c>
      <c r="H35" s="554"/>
      <c r="I35" s="575" t="s">
        <v>3177</v>
      </c>
      <c r="J35" s="554"/>
      <c r="K35" s="580"/>
      <c r="L35" s="2138"/>
      <c r="M35" s="2128"/>
      <c r="N35" s="2128"/>
      <c r="O35" s="2137"/>
      <c r="P35" s="3437"/>
      <c r="Q35" s="1569"/>
      <c r="R35" s="1570"/>
      <c r="S35" s="1571"/>
      <c r="T35" s="1570"/>
      <c r="U35" s="1571"/>
      <c r="V35" s="1570"/>
      <c r="W35" s="1571"/>
      <c r="X35" s="1564"/>
      <c r="Y35" s="3437"/>
      <c r="Z35" s="1572"/>
      <c r="AA35" s="1573">
        <v>1</v>
      </c>
      <c r="AB35" s="1573">
        <v>1</v>
      </c>
      <c r="AC35" s="1573">
        <v>1</v>
      </c>
    </row>
    <row r="36" spans="1:29" ht="2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7"/>
      <c r="Q36" s="1569" t="str">
        <f t="shared" si="8"/>
        <v>土地级别</v>
      </c>
      <c r="R36" s="1570" t="s">
        <v>8</v>
      </c>
      <c r="S36" s="1571">
        <f t="shared" si="10"/>
        <v>100</v>
      </c>
      <c r="T36" s="1570" t="s">
        <v>8</v>
      </c>
      <c r="U36" s="1571">
        <f t="shared" si="11"/>
        <v>100</v>
      </c>
      <c r="V36" s="1570" t="s">
        <v>8</v>
      </c>
      <c r="W36" s="1571">
        <f t="shared" si="12"/>
        <v>100</v>
      </c>
      <c r="X36" s="1564"/>
      <c r="Y36" s="3437"/>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7"/>
      <c r="Q37" s="1569">
        <f t="shared" si="8"/>
        <v>111</v>
      </c>
      <c r="R37" s="1570" t="s">
        <v>8</v>
      </c>
      <c r="S37" s="1571">
        <f t="shared" si="10"/>
        <v>100</v>
      </c>
      <c r="T37" s="1570" t="s">
        <v>8</v>
      </c>
      <c r="U37" s="1571">
        <f t="shared" si="11"/>
        <v>100</v>
      </c>
      <c r="V37" s="1570" t="s">
        <v>8</v>
      </c>
      <c r="W37" s="1571">
        <f t="shared" si="12"/>
        <v>100</v>
      </c>
      <c r="X37" s="1564"/>
      <c r="Y37" s="3437"/>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8" t="s">
        <v>550</v>
      </c>
      <c r="Q38" s="1569">
        <f t="shared" si="8"/>
        <v>111</v>
      </c>
      <c r="R38" s="1570" t="s">
        <v>8</v>
      </c>
      <c r="S38" s="1571">
        <f t="shared" si="10"/>
        <v>100</v>
      </c>
      <c r="T38" s="1570" t="s">
        <v>8</v>
      </c>
      <c r="U38" s="1571">
        <f t="shared" si="11"/>
        <v>100</v>
      </c>
      <c r="V38" s="1570" t="s">
        <v>8</v>
      </c>
      <c r="W38" s="1571">
        <f t="shared" si="12"/>
        <v>100</v>
      </c>
      <c r="X38" s="1564"/>
      <c r="Y38" s="3439" t="s">
        <v>550</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9"/>
      <c r="Q39" s="1569">
        <f t="shared" si="8"/>
        <v>111</v>
      </c>
      <c r="R39" s="1574" t="s">
        <v>8</v>
      </c>
      <c r="S39" s="1575">
        <f t="shared" si="10"/>
        <v>100</v>
      </c>
      <c r="T39" s="1574" t="s">
        <v>8</v>
      </c>
      <c r="U39" s="1575">
        <f t="shared" si="11"/>
        <v>100</v>
      </c>
      <c r="V39" s="1574" t="s">
        <v>8</v>
      </c>
      <c r="W39" s="1575">
        <f t="shared" si="12"/>
        <v>100</v>
      </c>
      <c r="X39" s="1576"/>
      <c r="Y39" s="3439"/>
      <c r="Z39" s="1577">
        <f t="shared" si="13"/>
        <v>111</v>
      </c>
      <c r="AA39" s="1573">
        <f t="shared" si="3"/>
        <v>1</v>
      </c>
      <c r="AB39" s="1573">
        <f t="shared" si="4"/>
        <v>1</v>
      </c>
      <c r="AC39" s="1573">
        <f t="shared" si="5"/>
        <v>1</v>
      </c>
    </row>
    <row r="40" spans="1:29" ht="20.25">
      <c r="A40" s="2903" t="s">
        <v>2755</v>
      </c>
      <c r="B40" s="594" t="s">
        <v>552</v>
      </c>
      <c r="C40" s="595">
        <f>'数据-基础表'!A3</f>
        <v>31082.14</v>
      </c>
      <c r="D40" s="596">
        <v>100</v>
      </c>
      <c r="E40" s="595">
        <v>31456</v>
      </c>
      <c r="F40" s="596">
        <f>LOOKUP(E40,119:119,120:120)-LOOKUP(C40,119:119,120:120)+100</f>
        <v>100</v>
      </c>
      <c r="G40" s="595">
        <v>33751</v>
      </c>
      <c r="H40" s="596">
        <f>LOOKUP(G40,119:119,120:120)-LOOKUP(C40,119:119,120:120)+100</f>
        <v>100</v>
      </c>
      <c r="I40" s="597">
        <v>65666</v>
      </c>
      <c r="J40" s="596">
        <f>LOOKUP(I40,119:119,120:120)-LOOKUP(C40,119:119,120:120)+100</f>
        <v>102</v>
      </c>
      <c r="K40" s="580"/>
      <c r="L40" s="2138"/>
      <c r="M40" s="2128"/>
      <c r="N40" s="2128"/>
      <c r="O40" s="2137"/>
      <c r="P40" s="3439"/>
      <c r="Q40" s="1569" t="str">
        <f>B40</f>
        <v>宗地面积</v>
      </c>
      <c r="R40" s="1570" t="s">
        <v>8</v>
      </c>
      <c r="S40" s="1571">
        <f t="shared" si="10"/>
        <v>100</v>
      </c>
      <c r="T40" s="1570" t="s">
        <v>8</v>
      </c>
      <c r="U40" s="1571">
        <f t="shared" si="11"/>
        <v>100</v>
      </c>
      <c r="V40" s="1570" t="s">
        <v>8</v>
      </c>
      <c r="W40" s="1571">
        <f t="shared" si="12"/>
        <v>102</v>
      </c>
      <c r="X40" s="1564"/>
      <c r="Y40" s="3439"/>
      <c r="Z40" s="1572" t="str">
        <f t="shared" si="13"/>
        <v>宗地面积</v>
      </c>
      <c r="AA40" s="1573">
        <f t="shared" si="3"/>
        <v>1</v>
      </c>
      <c r="AB40" s="1573">
        <f t="shared" si="4"/>
        <v>1</v>
      </c>
      <c r="AC40" s="1573">
        <f t="shared" si="5"/>
        <v>0.98039215686274506</v>
      </c>
    </row>
    <row r="41" spans="1:29" ht="20.25">
      <c r="A41" s="593"/>
      <c r="B41" s="526" t="s">
        <v>553</v>
      </c>
      <c r="C41" s="598" t="s">
        <v>3183</v>
      </c>
      <c r="D41" s="539">
        <v>100</v>
      </c>
      <c r="E41" s="598" t="s">
        <v>3181</v>
      </c>
      <c r="F41" s="539">
        <f>SUMIF(121:121,E41,122:122)-SUMIF(121:121,C41,122:122)+100</f>
        <v>102</v>
      </c>
      <c r="G41" s="598" t="s">
        <v>3181</v>
      </c>
      <c r="H41" s="539">
        <f>SUMIF(121:121,G41,122:122)-SUMIF(121:121,C41,122:122)+100</f>
        <v>102</v>
      </c>
      <c r="I41" s="598" t="s">
        <v>3181</v>
      </c>
      <c r="J41" s="539">
        <f>SUMIF(121:121,I41,122:122)-SUMIF(121:121,C41,122:122)+100</f>
        <v>102</v>
      </c>
      <c r="K41" s="583">
        <v>2</v>
      </c>
      <c r="L41" s="2138"/>
      <c r="M41" s="2128"/>
      <c r="N41" s="2128"/>
      <c r="O41" s="2137"/>
      <c r="P41" s="3439"/>
      <c r="Q41" s="1569" t="str">
        <f t="shared" ref="Q41:Q47" si="14">B41</f>
        <v>宗地形状</v>
      </c>
      <c r="R41" s="1570" t="s">
        <v>8</v>
      </c>
      <c r="S41" s="1571">
        <f t="shared" si="10"/>
        <v>102</v>
      </c>
      <c r="T41" s="1570" t="s">
        <v>8</v>
      </c>
      <c r="U41" s="1571">
        <f t="shared" si="11"/>
        <v>102</v>
      </c>
      <c r="V41" s="1570" t="s">
        <v>8</v>
      </c>
      <c r="W41" s="1571">
        <f t="shared" si="12"/>
        <v>102</v>
      </c>
      <c r="X41" s="1564"/>
      <c r="Y41" s="3439"/>
      <c r="Z41" s="1572" t="str">
        <f t="shared" si="13"/>
        <v>宗地形状</v>
      </c>
      <c r="AA41" s="1573">
        <f t="shared" si="3"/>
        <v>0.98039215686274506</v>
      </c>
      <c r="AB41" s="1573">
        <f t="shared" si="4"/>
        <v>0.98039215686274506</v>
      </c>
      <c r="AC41" s="1573">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8"/>
      <c r="M42" s="2128"/>
      <c r="N42" s="2128"/>
      <c r="O42" s="2137"/>
      <c r="P42" s="3439"/>
      <c r="Q42" s="1569" t="str">
        <f t="shared" si="14"/>
        <v>临街宽度及深度</v>
      </c>
      <c r="R42" s="1570" t="s">
        <v>8</v>
      </c>
      <c r="S42" s="1571">
        <f t="shared" si="10"/>
        <v>100</v>
      </c>
      <c r="T42" s="1570" t="s">
        <v>8</v>
      </c>
      <c r="U42" s="1571">
        <f t="shared" si="11"/>
        <v>100</v>
      </c>
      <c r="V42" s="1570" t="s">
        <v>8</v>
      </c>
      <c r="W42" s="1571">
        <f t="shared" si="12"/>
        <v>100</v>
      </c>
      <c r="X42" s="1564"/>
      <c r="Y42" s="3439"/>
      <c r="Z42" s="1572" t="str">
        <f t="shared" si="13"/>
        <v>临街宽度及深度</v>
      </c>
      <c r="AA42" s="1573">
        <f t="shared" si="3"/>
        <v>1</v>
      </c>
      <c r="AB42" s="1573">
        <f t="shared" si="4"/>
        <v>1</v>
      </c>
      <c r="AC42" s="1573">
        <f t="shared" si="5"/>
        <v>1</v>
      </c>
    </row>
    <row r="43" spans="1:29" s="1218" customFormat="1" ht="20.25">
      <c r="A43" s="599"/>
      <c r="B43" s="1891" t="s">
        <v>2424</v>
      </c>
      <c r="C43" s="600" t="s">
        <v>3291</v>
      </c>
      <c r="D43" s="254">
        <v>100</v>
      </c>
      <c r="E43" s="600" t="s">
        <v>3042</v>
      </c>
      <c r="F43" s="539">
        <f>SUMIF(125:125,E43,126:126)-SUMIF(125:125,C43,126:126)+100</f>
        <v>98</v>
      </c>
      <c r="G43" s="600" t="s">
        <v>3042</v>
      </c>
      <c r="H43" s="539">
        <f>SUMIF(125:125,G43,126:126)-SUMIF(125:125,C43,126:126)+100</f>
        <v>98</v>
      </c>
      <c r="I43" s="600" t="s">
        <v>3042</v>
      </c>
      <c r="J43" s="539">
        <f>SUMIF(125:125,I43,126:126)-SUMIF(125:125,C43,126:126)+100</f>
        <v>98</v>
      </c>
      <c r="K43" s="583">
        <v>1</v>
      </c>
      <c r="L43" s="2131"/>
      <c r="M43" s="2128"/>
      <c r="N43" s="2128"/>
      <c r="O43" s="2133"/>
      <c r="P43" s="3439"/>
      <c r="Q43" s="1569" t="str">
        <f t="shared" si="14"/>
        <v>宗地开发程度</v>
      </c>
      <c r="R43" s="1565" t="s">
        <v>8</v>
      </c>
      <c r="S43" s="1566">
        <f t="shared" si="10"/>
        <v>98</v>
      </c>
      <c r="T43" s="1565" t="s">
        <v>8</v>
      </c>
      <c r="U43" s="1566">
        <f t="shared" si="11"/>
        <v>98</v>
      </c>
      <c r="V43" s="1565" t="s">
        <v>8</v>
      </c>
      <c r="W43" s="1566">
        <f t="shared" si="12"/>
        <v>98</v>
      </c>
      <c r="X43" s="1567"/>
      <c r="Y43" s="3439"/>
      <c r="Z43" s="1148" t="str">
        <f t="shared" si="13"/>
        <v>宗地开发程度</v>
      </c>
      <c r="AA43" s="1568">
        <f t="shared" si="3"/>
        <v>1.0204081632653061</v>
      </c>
      <c r="AB43" s="1568">
        <f t="shared" si="4"/>
        <v>1.0204081632653061</v>
      </c>
      <c r="AC43" s="1568">
        <f t="shared" si="5"/>
        <v>1.0204081632653061</v>
      </c>
    </row>
    <row r="44" spans="1:29" ht="21" thickBot="1">
      <c r="A44" s="593"/>
      <c r="B44" s="526" t="s">
        <v>555</v>
      </c>
      <c r="C44" s="598" t="s">
        <v>3002</v>
      </c>
      <c r="D44" s="539">
        <v>100</v>
      </c>
      <c r="E44" s="598" t="s">
        <v>3002</v>
      </c>
      <c r="F44" s="539">
        <f>SUMIF(127:127,E44,128:128)-SUMIF(127:127,C44,128:128)+100</f>
        <v>100</v>
      </c>
      <c r="G44" s="598" t="s">
        <v>3002</v>
      </c>
      <c r="H44" s="539">
        <f>SUMIF(127:127,G44,128:128)-SUMIF(127:127,C44,128:128)+100</f>
        <v>100</v>
      </c>
      <c r="I44" s="598" t="s">
        <v>3002</v>
      </c>
      <c r="J44" s="539">
        <f>SUMIF(127:127,I44,128:128)-SUMIF(127:127,C44,128:128)+100</f>
        <v>100</v>
      </c>
      <c r="K44" s="583"/>
      <c r="L44" s="2138"/>
      <c r="M44" s="2128"/>
      <c r="N44" s="2128"/>
      <c r="O44" s="2137"/>
      <c r="P44" s="3439" t="s">
        <v>550</v>
      </c>
      <c r="Q44" s="1569" t="str">
        <f t="shared" si="14"/>
        <v>工程地质条件</v>
      </c>
      <c r="R44" s="1570" t="s">
        <v>8</v>
      </c>
      <c r="S44" s="1571">
        <f t="shared" si="10"/>
        <v>100</v>
      </c>
      <c r="T44" s="1570" t="s">
        <v>8</v>
      </c>
      <c r="U44" s="1571">
        <f t="shared" si="11"/>
        <v>100</v>
      </c>
      <c r="V44" s="1570" t="s">
        <v>8</v>
      </c>
      <c r="W44" s="1571">
        <f t="shared" si="12"/>
        <v>100</v>
      </c>
      <c r="X44" s="1564"/>
      <c r="Y44" s="3439" t="s">
        <v>550</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9"/>
      <c r="Q45" s="1569">
        <f t="shared" si="14"/>
        <v>111</v>
      </c>
      <c r="R45" s="1570" t="s">
        <v>8</v>
      </c>
      <c r="S45" s="1571">
        <f t="shared" si="10"/>
        <v>100</v>
      </c>
      <c r="T45" s="1570" t="s">
        <v>8</v>
      </c>
      <c r="U45" s="1571">
        <f t="shared" si="11"/>
        <v>100</v>
      </c>
      <c r="V45" s="1570" t="s">
        <v>8</v>
      </c>
      <c r="W45" s="1571">
        <f t="shared" si="12"/>
        <v>100</v>
      </c>
      <c r="X45" s="1564"/>
      <c r="Y45" s="3439"/>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9"/>
      <c r="Q46" s="1569">
        <f t="shared" si="14"/>
        <v>111</v>
      </c>
      <c r="R46" s="1570" t="s">
        <v>8</v>
      </c>
      <c r="S46" s="1571">
        <f t="shared" si="10"/>
        <v>100</v>
      </c>
      <c r="T46" s="1570" t="s">
        <v>8</v>
      </c>
      <c r="U46" s="1571">
        <f t="shared" si="11"/>
        <v>100</v>
      </c>
      <c r="V46" s="1570" t="s">
        <v>8</v>
      </c>
      <c r="W46" s="1571">
        <f t="shared" si="12"/>
        <v>100</v>
      </c>
      <c r="X46" s="1564"/>
      <c r="Y46" s="3439"/>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9"/>
      <c r="Q47" s="1569">
        <f t="shared" si="14"/>
        <v>111</v>
      </c>
      <c r="R47" s="1574" t="s">
        <v>8</v>
      </c>
      <c r="S47" s="1575">
        <f t="shared" si="10"/>
        <v>100</v>
      </c>
      <c r="T47" s="1574" t="s">
        <v>8</v>
      </c>
      <c r="U47" s="1575">
        <f t="shared" si="11"/>
        <v>100</v>
      </c>
      <c r="V47" s="1574" t="s">
        <v>8</v>
      </c>
      <c r="W47" s="1575">
        <f t="shared" si="12"/>
        <v>100</v>
      </c>
      <c r="X47" s="1576"/>
      <c r="Y47" s="3439"/>
      <c r="Z47" s="1577">
        <f t="shared" si="13"/>
        <v>111</v>
      </c>
      <c r="AA47" s="1573">
        <f t="shared" si="3"/>
        <v>1</v>
      </c>
      <c r="AB47" s="1573">
        <f t="shared" si="4"/>
        <v>1</v>
      </c>
      <c r="AC47" s="1573">
        <f t="shared" si="5"/>
        <v>1</v>
      </c>
    </row>
    <row r="48" spans="1:29" ht="20.25">
      <c r="A48" s="606" t="s">
        <v>556</v>
      </c>
      <c r="B48" s="607" t="s">
        <v>3057</v>
      </c>
      <c r="C48" s="608" t="s">
        <v>1</v>
      </c>
      <c r="D48" s="609"/>
      <c r="E48" s="610">
        <v>23008</v>
      </c>
      <c r="F48" s="611"/>
      <c r="G48" s="612">
        <v>23005</v>
      </c>
      <c r="H48" s="613"/>
      <c r="I48" s="3225">
        <f>ROUND(土地案例!$J$2/(土地案例!$E$2-4500)*10000,0)</f>
        <v>22502</v>
      </c>
      <c r="J48" s="613"/>
      <c r="K48" s="1338"/>
      <c r="L48" s="2140"/>
      <c r="M48" s="2128"/>
      <c r="N48" s="2128"/>
      <c r="O48" s="2141"/>
      <c r="P48" s="3401" t="str">
        <f>A48</f>
        <v>成交单价</v>
      </c>
      <c r="Q48" s="3401"/>
      <c r="R48" s="3402">
        <f>E48</f>
        <v>23008</v>
      </c>
      <c r="S48" s="3402"/>
      <c r="T48" s="3402">
        <f>G48</f>
        <v>23005</v>
      </c>
      <c r="U48" s="3402"/>
      <c r="V48" s="3402">
        <f>I48</f>
        <v>22502</v>
      </c>
      <c r="W48" s="3402"/>
      <c r="X48" s="1556"/>
      <c r="Y48" s="1578"/>
      <c r="Z48" s="1556"/>
      <c r="AA48" s="1556"/>
      <c r="AB48" s="1556"/>
      <c r="AC48" s="1556"/>
    </row>
    <row r="49" spans="1:29" ht="21" thickBot="1">
      <c r="A49" s="614" t="s">
        <v>2693</v>
      </c>
      <c r="B49" s="615"/>
      <c r="C49" s="616">
        <f>R50</f>
        <v>25937</v>
      </c>
      <c r="D49" s="617"/>
      <c r="E49" s="616">
        <f>R49</f>
        <v>27633</v>
      </c>
      <c r="F49" s="618"/>
      <c r="G49" s="619">
        <f>T49</f>
        <v>25495</v>
      </c>
      <c r="H49" s="617"/>
      <c r="I49" s="616">
        <f>V49</f>
        <v>24683</v>
      </c>
      <c r="J49" s="617"/>
      <c r="K49" s="1339"/>
      <c r="L49" s="2140"/>
      <c r="M49" s="2128"/>
      <c r="N49" s="2128"/>
      <c r="O49" s="2141"/>
      <c r="P49" s="3401" t="str">
        <f>A49</f>
        <v>比较价格（元/平方米）</v>
      </c>
      <c r="Q49" s="3401"/>
      <c r="R49" s="3403">
        <f>ROUND(PRODUCT(R48,AA9:AA47),0)</f>
        <v>27633</v>
      </c>
      <c r="S49" s="3403"/>
      <c r="T49" s="3403">
        <f>ROUND(PRODUCT(T48,AB9:AB47),0)</f>
        <v>25495</v>
      </c>
      <c r="U49" s="3403"/>
      <c r="V49" s="3403">
        <f>ROUND(PRODUCT(V48,AC9:AC47),0)</f>
        <v>24683</v>
      </c>
      <c r="W49" s="3403"/>
      <c r="X49" s="1556"/>
      <c r="Y49" s="1556"/>
      <c r="Z49" s="1556"/>
      <c r="AA49" s="1556"/>
      <c r="AB49" s="1556"/>
      <c r="AC49" s="1556"/>
    </row>
    <row r="50" spans="1:29" ht="21" thickBot="1">
      <c r="A50" s="620" t="s">
        <v>3321</v>
      </c>
      <c r="B50" s="621"/>
      <c r="C50" s="622">
        <f>R50</f>
        <v>25937</v>
      </c>
      <c r="D50" s="622"/>
      <c r="E50" s="622"/>
      <c r="F50" s="622"/>
      <c r="G50" s="622"/>
      <c r="H50" s="622"/>
      <c r="I50" s="622"/>
      <c r="J50" s="622"/>
      <c r="K50" s="1340"/>
      <c r="L50" s="2140"/>
      <c r="M50" s="2128"/>
      <c r="N50" s="2128"/>
      <c r="O50" s="2141"/>
      <c r="P50" s="3398" t="str">
        <f>A50</f>
        <v>估价对象住宅用地的比较价格（楼面单价，元/平方米）</v>
      </c>
      <c r="Q50" s="3399"/>
      <c r="R50" s="3400">
        <f>ROUND(AVERAGE(R49:V49),0)</f>
        <v>25937</v>
      </c>
      <c r="S50" s="3400"/>
      <c r="T50" s="3400"/>
      <c r="U50" s="3400"/>
      <c r="V50" s="3400"/>
      <c r="W50" s="3400"/>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f>IF(E48&lt;E49,E49/E48-1,E48/E49-1)</f>
        <v>0.20101703755215583</v>
      </c>
      <c r="F53" s="626" t="str">
        <f>IF(OR(E53&gt;=0.3,E53&lt;=-0.3),"超过30%","")</f>
        <v/>
      </c>
      <c r="G53" s="625">
        <f>IF(G48&lt;G49,G49/G48-1,G48/G49-1)</f>
        <v>0.10823733970875904</v>
      </c>
      <c r="H53" s="626" t="str">
        <f>IF(OR(G53&gt;=0.3,G53&lt;=-0.3),"超过30%","")</f>
        <v/>
      </c>
      <c r="I53" s="625">
        <f>IF(I48&lt;I49,I49/I48-1,I48/I49-1)</f>
        <v>9.6924717802862048E-2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f>IF(E49&lt;G49,G49/E49-1,E49/G49-1)</f>
        <v>8.3859580309864734E-2</v>
      </c>
      <c r="F54" s="626" t="str">
        <f>IF(OR(E54&gt;=0.2,E54&lt;=-0.2),"超过20%","")</f>
        <v/>
      </c>
      <c r="G54" s="625">
        <f>IF(G49&lt;I49,I49/G49-1,G49/I49-1)</f>
        <v>3.2897135680427736E-2</v>
      </c>
      <c r="H54" s="626" t="str">
        <f>IF(OR(G54&gt;=0.2,G54&lt;=-0.2),"超过20%","")</f>
        <v/>
      </c>
      <c r="I54" s="625">
        <f>IF(I49&lt;E49,E49/I49-1,I49/E49-1)</f>
        <v>0.11951545598184987</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f>IF(E48&lt;G48,G48/E48-1,E48/G48-1)</f>
        <v>1.3040643338402269E-4</v>
      </c>
      <c r="F55" s="626" t="str">
        <f>IF(OR(E55&gt;=0.3,E55&lt;=-0.3),"超过30%","")</f>
        <v/>
      </c>
      <c r="G55" s="625">
        <f>IF(G48&lt;I48,I48/G48-1,G48/I48-1)</f>
        <v>2.2353568571682469E-2</v>
      </c>
      <c r="H55" s="626" t="str">
        <f>IF(OR(G55&gt;=0.3,G55&lt;=-0.3),"超过30%","")</f>
        <v/>
      </c>
      <c r="I55" s="625">
        <f>IF(I48&lt;E48,E48/I48-1,I48/E48-1)</f>
        <v>2.2486890054217445E-2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560</v>
      </c>
      <c r="B57" s="629" t="s">
        <v>561</v>
      </c>
      <c r="C57" s="1557" t="s">
        <v>1725</v>
      </c>
      <c r="D57" s="2223" t="s">
        <v>2294</v>
      </c>
      <c r="E57" s="630" t="s">
        <v>562</v>
      </c>
      <c r="F57" s="631" t="s">
        <v>563</v>
      </c>
      <c r="G57" s="3428" t="s">
        <v>2282</v>
      </c>
      <c r="H57" s="3429"/>
      <c r="I57" s="1552" t="s">
        <v>1723</v>
      </c>
      <c r="J57" s="1552" t="str">
        <f>项目基本情况!F41</f>
        <v>福建省福州市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564</v>
      </c>
      <c r="B58" s="633">
        <f>C50</f>
        <v>25937</v>
      </c>
      <c r="C58" s="634">
        <v>1</v>
      </c>
      <c r="D58" s="2224">
        <v>1</v>
      </c>
      <c r="E58" s="634">
        <f>'数据-汇总表'!E8+'数据-汇总表'!E9</f>
        <v>27312.92</v>
      </c>
      <c r="F58" s="635">
        <f t="shared" ref="F58:F67" si="15">ROUND(B58*E58/10000,0)</f>
        <v>70842</v>
      </c>
      <c r="G58" s="3430"/>
      <c r="H58" s="343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565</v>
      </c>
      <c r="B59" s="637">
        <f>ROUND($C$50*C59*D59,0)</f>
        <v>0</v>
      </c>
      <c r="C59" s="377">
        <f t="shared" ref="C59:C67" si="16">IF($C$57="北京市系数",I59,J59)</f>
        <v>0</v>
      </c>
      <c r="D59" s="2225">
        <v>0.25</v>
      </c>
      <c r="E59" s="638">
        <v>0</v>
      </c>
      <c r="F59" s="635">
        <f t="shared" si="15"/>
        <v>0</v>
      </c>
      <c r="G59" s="3432"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566</v>
      </c>
      <c r="B60" s="637">
        <f t="shared" ref="B60:B67" si="17">ROUND($C$50*C60*D60,0)</f>
        <v>0</v>
      </c>
      <c r="C60" s="377">
        <f t="shared" si="16"/>
        <v>0</v>
      </c>
      <c r="D60" s="2225">
        <v>0.25</v>
      </c>
      <c r="E60" s="638">
        <v>0</v>
      </c>
      <c r="F60" s="635">
        <f t="shared" si="15"/>
        <v>0</v>
      </c>
      <c r="G60" s="3432"/>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567</v>
      </c>
      <c r="B61" s="637">
        <f t="shared" si="17"/>
        <v>0</v>
      </c>
      <c r="C61" s="377">
        <f t="shared" si="16"/>
        <v>0</v>
      </c>
      <c r="D61" s="2225">
        <v>0.25</v>
      </c>
      <c r="E61" s="638">
        <v>0</v>
      </c>
      <c r="F61" s="635">
        <f t="shared" si="15"/>
        <v>0</v>
      </c>
      <c r="G61" s="3432"/>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568</v>
      </c>
      <c r="B62" s="637">
        <f t="shared" si="17"/>
        <v>0</v>
      </c>
      <c r="C62" s="377">
        <f t="shared" si="16"/>
        <v>0</v>
      </c>
      <c r="D62" s="2225">
        <v>0.25</v>
      </c>
      <c r="E62" s="638">
        <v>0</v>
      </c>
      <c r="F62" s="635">
        <f t="shared" si="15"/>
        <v>0</v>
      </c>
      <c r="G62" s="3432"/>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2328</v>
      </c>
      <c r="B63" s="637">
        <f t="shared" si="17"/>
        <v>0</v>
      </c>
      <c r="C63" s="377">
        <f t="shared" si="16"/>
        <v>0</v>
      </c>
      <c r="D63" s="2225">
        <v>0.25</v>
      </c>
      <c r="E63" s="640">
        <f>'数据-汇总表'!E11</f>
        <v>0</v>
      </c>
      <c r="F63" s="635">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569</v>
      </c>
      <c r="B64" s="637">
        <f t="shared" si="17"/>
        <v>0</v>
      </c>
      <c r="C64" s="377">
        <f t="shared" si="16"/>
        <v>0</v>
      </c>
      <c r="D64" s="2225">
        <v>0.25</v>
      </c>
      <c r="E64" s="640">
        <f>'数据-汇总表'!E12</f>
        <v>0</v>
      </c>
      <c r="F64" s="635">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570</v>
      </c>
      <c r="B65" s="637">
        <f t="shared" si="17"/>
        <v>0</v>
      </c>
      <c r="C65" s="377">
        <f t="shared" si="16"/>
        <v>0</v>
      </c>
      <c r="D65" s="2225">
        <v>0.25</v>
      </c>
      <c r="E65" s="640">
        <f>'数据-汇总表'!E13</f>
        <v>28630</v>
      </c>
      <c r="F65" s="635">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571</v>
      </c>
      <c r="B66" s="637">
        <f t="shared" si="17"/>
        <v>0</v>
      </c>
      <c r="C66" s="377">
        <f t="shared" si="16"/>
        <v>0</v>
      </c>
      <c r="D66" s="2225">
        <v>0.25</v>
      </c>
      <c r="E66" s="640">
        <f>'数据-汇总表'!E14</f>
        <v>0</v>
      </c>
      <c r="F66" s="635">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572</v>
      </c>
      <c r="B67" s="637">
        <f t="shared" si="17"/>
        <v>0</v>
      </c>
      <c r="C67" s="377">
        <f t="shared" si="16"/>
        <v>0</v>
      </c>
      <c r="D67" s="2225">
        <v>0.25</v>
      </c>
      <c r="E67" s="640">
        <f>'数据-汇总表'!E15</f>
        <v>0</v>
      </c>
      <c r="F67" s="635">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573</v>
      </c>
      <c r="B68" s="642" t="s">
        <v>17</v>
      </c>
      <c r="C68" s="642" t="s">
        <v>18</v>
      </c>
      <c r="D68" s="642" t="s">
        <v>2295</v>
      </c>
      <c r="E68" s="642">
        <f>IF(B48="楼面地价",SUM(E58:E67),'数据-汇总表'!D3)</f>
        <v>55942.92</v>
      </c>
      <c r="F68" s="643">
        <f>IF(B48="楼面地价",SUM(F58:F67),ROUND(C50*E68/10000,0))</f>
        <v>70842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2018-8-1</v>
      </c>
      <c r="D70" s="2795">
        <f>EDATE(C70,-3)</f>
        <v>43221</v>
      </c>
      <c r="E70" s="2795">
        <f t="shared" ref="E70:N70" si="18">EDATE(D70,-3)</f>
        <v>43132</v>
      </c>
      <c r="F70" s="2795">
        <f t="shared" si="18"/>
        <v>43040</v>
      </c>
      <c r="G70" s="2795">
        <f t="shared" si="18"/>
        <v>42948</v>
      </c>
      <c r="H70" s="2795">
        <f t="shared" si="18"/>
        <v>42856</v>
      </c>
      <c r="I70" s="2795">
        <f t="shared" si="18"/>
        <v>42767</v>
      </c>
      <c r="J70" s="2795">
        <f t="shared" si="18"/>
        <v>42675</v>
      </c>
      <c r="K70" s="2795">
        <f t="shared" si="18"/>
        <v>42583</v>
      </c>
      <c r="L70" s="2795">
        <f t="shared" si="18"/>
        <v>42491</v>
      </c>
      <c r="M70" s="2795">
        <f t="shared" si="18"/>
        <v>42401</v>
      </c>
      <c r="N70" s="2795">
        <f t="shared" si="18"/>
        <v>42309</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8" t="str">
        <f>"北京市平均增长率"&amp;TEXT(SUMIF(基准地价!N21:N25,A73,基准地价!P21:P25),"0.00%")</f>
        <v>北京市平均增长率2.23%</v>
      </c>
      <c r="C73" s="892">
        <v>100</v>
      </c>
      <c r="D73" s="729">
        <v>99</v>
      </c>
      <c r="E73" s="729">
        <v>98</v>
      </c>
      <c r="F73" s="729">
        <v>97</v>
      </c>
      <c r="G73" s="729">
        <v>96</v>
      </c>
      <c r="H73" s="729">
        <v>95</v>
      </c>
      <c r="I73" s="729">
        <v>94</v>
      </c>
      <c r="J73" s="729">
        <v>93</v>
      </c>
      <c r="K73" s="729">
        <v>92</v>
      </c>
      <c r="L73" s="729">
        <v>91</v>
      </c>
      <c r="M73" s="729">
        <v>90</v>
      </c>
      <c r="N73" s="729">
        <v>89</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5">
      <c r="A75" s="658" t="s">
        <v>531</v>
      </c>
      <c r="B75" s="647"/>
      <c r="C75" s="659" t="s">
        <v>576</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577</v>
      </c>
      <c r="B77" s="664" t="s">
        <v>534</v>
      </c>
      <c r="C77" s="3200" t="s">
        <v>3319</v>
      </c>
      <c r="D77" s="3200" t="s">
        <v>3320</v>
      </c>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v>100</v>
      </c>
      <c r="D78" s="670">
        <v>98</v>
      </c>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537</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539</v>
      </c>
      <c r="B90" s="664" t="s">
        <v>578</v>
      </c>
      <c r="C90" s="702" t="s">
        <v>579</v>
      </c>
      <c r="D90" s="702" t="s">
        <v>580</v>
      </c>
      <c r="E90" s="702" t="s">
        <v>581</v>
      </c>
      <c r="F90" s="702" t="s">
        <v>582</v>
      </c>
      <c r="G90" s="702" t="s">
        <v>583</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95</v>
      </c>
      <c r="E91" s="678">
        <f>D91-$K17</f>
        <v>90</v>
      </c>
      <c r="F91" s="678">
        <f>E91-$K17</f>
        <v>85</v>
      </c>
      <c r="G91" s="678">
        <f>F91-$K17</f>
        <v>80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584</v>
      </c>
      <c r="C92" s="707" t="s">
        <v>579</v>
      </c>
      <c r="D92" s="707" t="s">
        <v>580</v>
      </c>
      <c r="E92" s="707" t="s">
        <v>581</v>
      </c>
      <c r="F92" s="707" t="s">
        <v>582</v>
      </c>
      <c r="G92" s="707" t="s">
        <v>583</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98</v>
      </c>
      <c r="E93" s="678">
        <f>D93-$K19</f>
        <v>96</v>
      </c>
      <c r="F93" s="678">
        <f>E93-$K19</f>
        <v>94</v>
      </c>
      <c r="G93" s="678">
        <f>F93-$K19</f>
        <v>92</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585</v>
      </c>
      <c r="C94" s="707" t="s">
        <v>579</v>
      </c>
      <c r="D94" s="707" t="s">
        <v>580</v>
      </c>
      <c r="E94" s="707" t="s">
        <v>581</v>
      </c>
      <c r="F94" s="707" t="s">
        <v>582</v>
      </c>
      <c r="G94" s="707" t="s">
        <v>583</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586</v>
      </c>
      <c r="C96" s="707" t="s">
        <v>579</v>
      </c>
      <c r="D96" s="707" t="s">
        <v>580</v>
      </c>
      <c r="E96" s="707" t="s">
        <v>581</v>
      </c>
      <c r="F96" s="707" t="s">
        <v>582</v>
      </c>
      <c r="G96" s="707" t="s">
        <v>583</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98</v>
      </c>
      <c r="E97" s="678">
        <f>D97-$K23</f>
        <v>96</v>
      </c>
      <c r="F97" s="678">
        <f>E97-$K23</f>
        <v>94</v>
      </c>
      <c r="G97" s="678">
        <f>F97-$K23</f>
        <v>92</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579</v>
      </c>
      <c r="D102" s="702" t="s">
        <v>580</v>
      </c>
      <c r="E102" s="702" t="s">
        <v>581</v>
      </c>
      <c r="F102" s="702" t="s">
        <v>582</v>
      </c>
      <c r="G102" s="702" t="s">
        <v>583</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593" t="s">
        <v>2550</v>
      </c>
      <c r="C104" s="2594" t="s">
        <v>2551</v>
      </c>
      <c r="D104" s="2594" t="s">
        <v>2552</v>
      </c>
      <c r="E104" s="2594" t="s">
        <v>2553</v>
      </c>
      <c r="F104" s="2594" t="s">
        <v>2554</v>
      </c>
      <c r="G104" s="2594"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586"/>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548</v>
      </c>
      <c r="C108" s="3191" t="s">
        <v>3172</v>
      </c>
      <c r="D108" s="3191" t="s">
        <v>3173</v>
      </c>
      <c r="E108" s="3191" t="s">
        <v>3174</v>
      </c>
      <c r="F108" s="3191" t="s">
        <v>3176</v>
      </c>
      <c r="G108" s="3191" t="s">
        <v>3178</v>
      </c>
      <c r="H108" s="3190" t="s">
        <v>3179</v>
      </c>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549</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551</v>
      </c>
      <c r="B118" s="664" t="s">
        <v>593</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085" t="str">
        <f t="shared" si="25"/>
        <v>(含)-</v>
      </c>
      <c r="K118" s="3085" t="str">
        <f t="shared" si="25"/>
        <v>(含)-</v>
      </c>
      <c r="L118" s="3086" t="str">
        <f t="shared" si="25"/>
        <v>(含)-</v>
      </c>
      <c r="M118" s="3087"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594</v>
      </c>
      <c r="C121" s="3190" t="s">
        <v>3180</v>
      </c>
      <c r="D121" s="3190" t="s">
        <v>3182</v>
      </c>
      <c r="E121" s="3190" t="s">
        <v>3184</v>
      </c>
      <c r="F121" s="3190" t="s">
        <v>3185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595</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3186</v>
      </c>
      <c r="D125" s="1373" t="s">
        <v>3187</v>
      </c>
      <c r="E125" s="1373" t="s">
        <v>3188</v>
      </c>
      <c r="F125" s="1373" t="s">
        <v>3189</v>
      </c>
      <c r="G125" s="1373" t="s">
        <v>3190</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596</v>
      </c>
      <c r="C127" s="3191" t="s">
        <v>3191</v>
      </c>
      <c r="D127" s="3191" t="s">
        <v>3192</v>
      </c>
      <c r="E127" s="3190" t="s">
        <v>3193</v>
      </c>
      <c r="F127" s="3190" t="s">
        <v>3194</v>
      </c>
      <c r="G127" s="3190" t="s">
        <v>3195</v>
      </c>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30" max="10"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466</v>
      </c>
      <c r="B1" s="2805"/>
      <c r="C1" s="2100"/>
      <c r="D1" s="2100"/>
      <c r="E1" s="2100"/>
      <c r="F1" s="2100"/>
      <c r="G1" s="2100"/>
      <c r="H1" s="2100"/>
      <c r="I1" s="2100"/>
      <c r="J1" s="2100"/>
      <c r="K1" s="421">
        <f>MATCH(B1,'数据-取费表'!A6:A16,0)+5</f>
        <v>10</v>
      </c>
    </row>
    <row r="2" spans="1:41" s="2037" customFormat="1" ht="18" customHeight="1">
      <c r="A2" s="422" t="s">
        <v>467</v>
      </c>
      <c r="B2" s="423">
        <f ca="1">C32</f>
        <v>0</v>
      </c>
      <c r="C2" s="2100"/>
      <c r="D2" s="2100"/>
      <c r="E2" s="2100"/>
      <c r="F2" s="2100"/>
      <c r="G2" s="2100"/>
      <c r="H2" s="2100"/>
      <c r="I2" s="2100"/>
      <c r="J2" s="2100"/>
      <c r="K2" s="2100"/>
    </row>
    <row r="3" spans="1:41" s="2037" customFormat="1" ht="18" customHeight="1">
      <c r="A3" s="1376" t="s">
        <v>1685</v>
      </c>
      <c r="B3" s="424">
        <f ca="1">ROUND(B2*10000/IF(B1="",'数据-汇总表'!E3,INDIRECT("'数据-取费表'!K"&amp;$K$1)),0)</f>
        <v>0</v>
      </c>
      <c r="C3" s="2100"/>
      <c r="D3" s="2100"/>
      <c r="E3" s="2100"/>
      <c r="F3" s="2100"/>
      <c r="G3" s="2100"/>
      <c r="H3" s="2100"/>
      <c r="I3" s="2100"/>
      <c r="J3" s="2100"/>
      <c r="K3" s="2100"/>
    </row>
    <row r="4" spans="1:41" s="2037" customFormat="1" ht="18" customHeight="1">
      <c r="A4" s="425" t="s">
        <v>468</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469</v>
      </c>
      <c r="D5" s="2100"/>
      <c r="E5" s="2100"/>
      <c r="F5" s="2100"/>
      <c r="G5" s="2100"/>
      <c r="H5" s="2100"/>
      <c r="I5" s="2100"/>
      <c r="J5" s="2100"/>
      <c r="K5" s="2100"/>
    </row>
    <row r="6" spans="1:41" s="2107" customFormat="1" ht="16.5" customHeight="1">
      <c r="A6" s="431" t="s">
        <v>2652</v>
      </c>
      <c r="B6" s="432"/>
      <c r="C6" s="1620">
        <f>SUM(C10:K10)</f>
        <v>0</v>
      </c>
      <c r="D6" s="2105"/>
      <c r="E6" s="2105"/>
      <c r="F6" s="2105"/>
      <c r="G6" s="2105"/>
      <c r="H6" s="2105"/>
      <c r="I6" s="2105"/>
      <c r="J6" s="2105"/>
      <c r="K6" s="2106"/>
    </row>
    <row r="7" spans="1:41" s="2109" customFormat="1" ht="15">
      <c r="A7" s="433" t="s">
        <v>470</v>
      </c>
      <c r="B7" s="434" t="s">
        <v>471</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7" t="s">
        <v>472</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3" t="s">
        <v>470</v>
      </c>
      <c r="B12" s="443" t="s">
        <v>471</v>
      </c>
      <c r="C12" s="444" t="s">
        <v>475</v>
      </c>
      <c r="D12" s="445" t="s">
        <v>476</v>
      </c>
      <c r="E12" s="445" t="s">
        <v>477</v>
      </c>
      <c r="F12" s="445" t="s">
        <v>478</v>
      </c>
      <c r="G12" s="443"/>
      <c r="H12" s="446"/>
      <c r="I12" s="446"/>
      <c r="J12" s="446"/>
      <c r="K12" s="447"/>
    </row>
    <row r="13" spans="1:41" s="2112" customFormat="1" ht="13.5" customHeight="1">
      <c r="A13" s="1630" t="s">
        <v>1849</v>
      </c>
      <c r="B13" s="448" t="s">
        <v>479</v>
      </c>
      <c r="C13" s="449">
        <f ca="1">IF(B1="",'数据-取费表'!M16,INDIRECT("'数据-取费表'!M"&amp;$K$1)+INDIRECT("'数据-取费表'!t"&amp;$K$1))</f>
        <v>14366</v>
      </c>
      <c r="D13" s="450"/>
      <c r="E13" s="364"/>
      <c r="F13" s="451"/>
      <c r="G13" s="443"/>
      <c r="H13" s="446"/>
      <c r="I13" s="446"/>
      <c r="J13" s="446"/>
      <c r="K13" s="447"/>
    </row>
    <row r="14" spans="1:41" s="2112" customFormat="1" ht="13.5" customHeight="1">
      <c r="A14" s="1630" t="s">
        <v>1850</v>
      </c>
      <c r="B14" s="448" t="s">
        <v>480</v>
      </c>
      <c r="C14" s="53">
        <f ca="1">ROUND(C13*F14,0)</f>
        <v>431</v>
      </c>
      <c r="D14" s="450"/>
      <c r="E14" s="364"/>
      <c r="F14" s="452">
        <f>'数据-取费表'!B33</f>
        <v>0.03</v>
      </c>
      <c r="G14" s="443" t="s">
        <v>502</v>
      </c>
      <c r="H14" s="446"/>
      <c r="I14" s="446"/>
      <c r="J14" s="446"/>
      <c r="K14" s="447"/>
    </row>
    <row r="15" spans="1:41" s="2112" customFormat="1" ht="13.5" customHeight="1">
      <c r="A15" s="1630" t="s">
        <v>1851</v>
      </c>
      <c r="B15" s="448" t="s">
        <v>482</v>
      </c>
      <c r="C15" s="53">
        <f ca="1">ROUND(IF(B1="",SUMIF('数据-取费表'!C:C,"住宅",'数据-取费表'!M:M)*F15,IF(INDIRECT("'数据-取费表'!c"&amp;$K$1)="住宅",INDIRECT("'数据-取费表'!M"&amp;$K$1)*F15,0)),0)</f>
        <v>219</v>
      </c>
      <c r="D15" s="450"/>
      <c r="E15" s="364"/>
      <c r="F15" s="452">
        <f>'数据-取费表'!B34</f>
        <v>0.03</v>
      </c>
      <c r="G15" s="443" t="s">
        <v>502</v>
      </c>
      <c r="H15" s="446"/>
      <c r="I15" s="446"/>
      <c r="J15" s="446"/>
      <c r="K15" s="447"/>
    </row>
    <row r="16" spans="1:41" s="2113" customFormat="1" ht="13.5" customHeight="1">
      <c r="A16" s="1630" t="s">
        <v>1852</v>
      </c>
      <c r="B16" s="448" t="s">
        <v>484</v>
      </c>
      <c r="C16" s="53">
        <f ca="1">ROUND(D16*E16/10000,0)</f>
        <v>1154</v>
      </c>
      <c r="D16" s="450">
        <f ca="1">IF(B1="",'数据-汇总表'!E3,INDIRECT("'数据-取费表'!K"&amp;$K$1)+INDIRECT("'数据-取费表'!S"&amp;$K$1))</f>
        <v>57683.92</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8" t="s">
        <v>485</v>
      </c>
      <c r="C17" s="453">
        <f ca="1">ROUND(C13*F17,0)</f>
        <v>215</v>
      </c>
      <c r="D17" s="454"/>
      <c r="E17" s="453"/>
      <c r="F17" s="455">
        <f>'数据-取费表'!B36</f>
        <v>1.4999999999999999E-2</v>
      </c>
      <c r="G17" s="443" t="s">
        <v>502</v>
      </c>
      <c r="H17" s="456"/>
      <c r="I17" s="456"/>
      <c r="J17" s="456"/>
      <c r="K17" s="457"/>
    </row>
    <row r="18" spans="1:14" s="2115" customFormat="1" ht="13.5" customHeight="1">
      <c r="A18" s="1631" t="s">
        <v>1854</v>
      </c>
      <c r="B18" s="458" t="s">
        <v>487</v>
      </c>
      <c r="C18" s="459">
        <f ca="1">SUM(C13:C17)</f>
        <v>16385</v>
      </c>
      <c r="D18" s="460"/>
      <c r="E18" s="461"/>
      <c r="F18" s="461"/>
      <c r="G18" s="1325" t="s">
        <v>2432</v>
      </c>
      <c r="H18" s="446"/>
      <c r="I18" s="446"/>
      <c r="J18" s="446"/>
      <c r="K18" s="447"/>
    </row>
    <row r="19" spans="1:14" s="2115" customFormat="1" ht="13.5" customHeight="1">
      <c r="A19" s="1631" t="s">
        <v>1855</v>
      </c>
      <c r="B19" s="458" t="s">
        <v>493</v>
      </c>
      <c r="C19" s="459">
        <f ca="1">ROUND(C18*F19,0)</f>
        <v>328</v>
      </c>
      <c r="D19" s="461"/>
      <c r="E19" s="461"/>
      <c r="F19" s="465">
        <f>'数据-取费表'!B37</f>
        <v>0.02</v>
      </c>
      <c r="G19" s="443" t="s">
        <v>503</v>
      </c>
      <c r="H19" s="446"/>
      <c r="I19" s="446"/>
      <c r="J19" s="446"/>
      <c r="K19" s="447"/>
      <c r="L19" s="2117"/>
      <c r="M19" s="2117"/>
      <c r="N19" s="2117"/>
    </row>
    <row r="20" spans="1:14" s="2115" customFormat="1" ht="13.5" customHeight="1">
      <c r="A20" s="1631" t="s">
        <v>1856</v>
      </c>
      <c r="B20" s="458" t="s">
        <v>504</v>
      </c>
      <c r="C20" s="3025">
        <f>F20</f>
        <v>0.02</v>
      </c>
      <c r="D20" s="468" t="s">
        <v>505</v>
      </c>
      <c r="E20" s="468"/>
      <c r="F20" s="485">
        <f>'数据-取费表'!B38</f>
        <v>0.02</v>
      </c>
      <c r="G20" s="1325" t="s">
        <v>506</v>
      </c>
      <c r="H20" s="446"/>
      <c r="I20" s="446"/>
      <c r="J20" s="446"/>
      <c r="K20" s="447"/>
      <c r="L20" s="2117"/>
      <c r="M20" s="2117"/>
      <c r="N20" s="2117"/>
    </row>
    <row r="21" spans="1:14" s="2117" customFormat="1" ht="13.5" customHeight="1">
      <c r="A21" s="1631" t="s">
        <v>1859</v>
      </c>
      <c r="B21" s="460" t="s">
        <v>494</v>
      </c>
      <c r="C21" s="469">
        <f ca="1">C22</f>
        <v>592</v>
      </c>
      <c r="D21" s="466">
        <f ca="1">C23</f>
        <v>6.9999999999999999E-4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1849</v>
      </c>
      <c r="B22" s="1326" t="s">
        <v>2435</v>
      </c>
      <c r="C22" s="486">
        <f ca="1">ROUND(IF('数据-取费表'!B22&lt;=1,(C18+C19)*F21*'数据-取费表'!B20/2,(C18+C19)*(POWER((1+F21),'数据-取费表'!B20/2)-1)),0)</f>
        <v>592</v>
      </c>
      <c r="D22" s="471"/>
      <c r="E22" s="472"/>
      <c r="F22" s="473"/>
      <c r="G22" s="2563" t="str">
        <f>IF('数据-取费表'!B22&lt;=1,"((1)+(2))×年利率×建设期÷2","((1)+(2))×((1+年利率)^(建设期÷2)-1)")</f>
        <v>((1)+(2))×((1+年利率)^(建设期÷2)-1)</v>
      </c>
      <c r="H22" s="456"/>
      <c r="I22" s="456"/>
      <c r="J22" s="456"/>
      <c r="K22" s="457"/>
    </row>
    <row r="23" spans="1:14" s="2116" customFormat="1" ht="13.5" customHeight="1">
      <c r="A23" s="1630" t="s">
        <v>1850</v>
      </c>
      <c r="B23" s="1326" t="s">
        <v>508</v>
      </c>
      <c r="C23" s="487">
        <f ca="1">ROUND(IF('数据-取费表'!B22&lt;=1,F20*F21*'数据-取费表'!B20/2,F20*(POWER((1+F21),'数据-取费表'!B20/2)-1)),4)</f>
        <v>6.9999999999999999E-4</v>
      </c>
      <c r="D23" s="471"/>
      <c r="E23" s="472"/>
      <c r="F23" s="473"/>
      <c r="G23" s="2563" t="str">
        <f>IF('数据-取费表'!B22&lt;=1,"销售费用率×年利率×建设期÷2","销售费用率×((1+年利率)^(建设期÷2)-1)")</f>
        <v>销售费用率×((1+年利率)^(建设期÷2)-1)</v>
      </c>
      <c r="H23" s="456"/>
      <c r="I23" s="456"/>
      <c r="J23" s="456"/>
      <c r="K23" s="457"/>
    </row>
    <row r="24" spans="1:14" s="2116" customFormat="1" ht="13.5" customHeight="1">
      <c r="A24" s="1631" t="s">
        <v>1860</v>
      </c>
      <c r="B24" s="3027" t="s">
        <v>2832</v>
      </c>
      <c r="C24" s="477">
        <f ca="1">C25</f>
        <v>1170</v>
      </c>
      <c r="D24" s="488">
        <f ca="1">C26</f>
        <v>1.4E-3</v>
      </c>
      <c r="E24" s="468" t="s">
        <v>507</v>
      </c>
      <c r="F24" s="478">
        <f ca="1">IF(B1="",'数据-取费表'!Q16,INDIRECT("'数据-取费表'!q"&amp;$K$1))</f>
        <v>7.0000000000000007E-2</v>
      </c>
      <c r="G24" s="443"/>
      <c r="H24" s="446"/>
      <c r="I24" s="446"/>
      <c r="J24" s="446"/>
      <c r="K24" s="447"/>
    </row>
    <row r="25" spans="1:14" s="2116" customFormat="1" ht="13.5" customHeight="1">
      <c r="A25" s="1630" t="s">
        <v>1849</v>
      </c>
      <c r="B25" s="1326" t="s">
        <v>2436</v>
      </c>
      <c r="C25" s="489">
        <f ca="1">ROUND((C18+C19)*F24,0)</f>
        <v>1170</v>
      </c>
      <c r="D25" s="471"/>
      <c r="E25" s="472"/>
      <c r="F25" s="479"/>
      <c r="G25" s="1324" t="s">
        <v>2433</v>
      </c>
      <c r="H25" s="456"/>
      <c r="I25" s="456"/>
      <c r="J25" s="456"/>
      <c r="K25" s="457"/>
    </row>
    <row r="26" spans="1:14" s="2116" customFormat="1" ht="13.5" customHeight="1">
      <c r="A26" s="1630" t="s">
        <v>1850</v>
      </c>
      <c r="B26" s="1326" t="s">
        <v>509</v>
      </c>
      <c r="C26" s="490">
        <f ca="1">ROUND(F20*F24,4)</f>
        <v>1.4E-3</v>
      </c>
      <c r="D26" s="471"/>
      <c r="E26" s="480"/>
      <c r="F26" s="479"/>
      <c r="G26" s="1324" t="s">
        <v>510</v>
      </c>
      <c r="H26" s="456"/>
      <c r="I26" s="456"/>
      <c r="J26" s="456"/>
      <c r="K26" s="457"/>
    </row>
    <row r="27" spans="1:14" s="2116" customFormat="1" ht="13.5" customHeight="1">
      <c r="A27" s="1634" t="s">
        <v>1868</v>
      </c>
      <c r="B27" s="458" t="s">
        <v>511</v>
      </c>
      <c r="C27" s="3026">
        <f>ROUND(F27/(1+'数据-取费表'!C42),4)</f>
        <v>5.33E-2</v>
      </c>
      <c r="D27" s="461" t="s">
        <v>2830</v>
      </c>
      <c r="E27" s="461"/>
      <c r="F27" s="465">
        <f>'数据-取费表'!B41</f>
        <v>5.6000000000000001E-2</v>
      </c>
      <c r="G27" s="1956" t="s">
        <v>2292</v>
      </c>
      <c r="H27" s="446"/>
      <c r="I27" s="446"/>
      <c r="J27" s="446"/>
      <c r="K27" s="447"/>
    </row>
    <row r="28" spans="1:14" s="2117" customFormat="1" ht="13.5" customHeight="1">
      <c r="A28" s="1634" t="s">
        <v>1869</v>
      </c>
      <c r="B28" s="475" t="s">
        <v>512</v>
      </c>
      <c r="C28" s="469">
        <f ca="1">ROUND((C18+C19+C21+C24)/(1-C20-D21-D24-C27),0)</f>
        <v>19982</v>
      </c>
      <c r="D28" s="476"/>
      <c r="E28" s="468"/>
      <c r="F28" s="470"/>
      <c r="G28" s="1325" t="s">
        <v>2434</v>
      </c>
      <c r="H28" s="446"/>
      <c r="I28" s="446"/>
      <c r="J28" s="446"/>
      <c r="K28" s="447"/>
    </row>
    <row r="29" spans="1:14" s="2117" customFormat="1" ht="13.5" customHeight="1">
      <c r="A29" s="1634" t="s">
        <v>1870</v>
      </c>
      <c r="B29" s="475" t="s">
        <v>513</v>
      </c>
      <c r="C29" s="491">
        <f ca="1">IF(B1="",'数据-取费表'!N16,INDIRECT("'数据-取费表'!N"&amp;$K$1))</f>
        <v>0</v>
      </c>
      <c r="D29" s="492"/>
      <c r="E29" s="493"/>
      <c r="F29" s="494"/>
      <c r="G29" s="443"/>
      <c r="H29" s="446"/>
      <c r="I29" s="446"/>
      <c r="J29" s="446"/>
      <c r="K29" s="447"/>
    </row>
    <row r="30" spans="1:14" s="2117" customFormat="1" ht="13.5" customHeight="1">
      <c r="A30" s="442">
        <v>2</v>
      </c>
      <c r="B30" s="475" t="s">
        <v>514</v>
      </c>
      <c r="C30" s="496">
        <f ca="1">ROUND(C28*C29,0)</f>
        <v>0</v>
      </c>
      <c r="D30" s="492"/>
      <c r="E30" s="497"/>
      <c r="F30" s="498"/>
      <c r="G30" s="1327" t="s">
        <v>515</v>
      </c>
      <c r="H30" s="495"/>
      <c r="I30" s="495"/>
      <c r="J30" s="446"/>
      <c r="K30" s="447"/>
    </row>
    <row r="31" spans="1:14" s="2122" customFormat="1" ht="13.5" customHeight="1">
      <c r="A31" s="2478" t="s">
        <v>1866</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79"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26" t="str">
        <f>项目基本情况!B1</f>
        <v>福建省福州市鼓楼区五一中路以东，龙庭路南北侧，五一新城地块出让国有建设用地使用权抵押价格预评估</v>
      </c>
      <c r="C37" s="3226"/>
      <c r="D37" s="3226"/>
      <c r="E37" s="3226"/>
      <c r="F37" s="3226"/>
      <c r="G37" s="3226"/>
      <c r="H37" s="3226"/>
      <c r="I37" s="3226"/>
    </row>
    <row r="38" spans="1:9">
      <c r="A38" s="1653"/>
      <c r="B38" s="1653"/>
    </row>
    <row r="39" spans="1:9">
      <c r="A39" s="1651" t="s">
        <v>1902</v>
      </c>
      <c r="B39" s="1651" t="s">
        <v>2047</v>
      </c>
    </row>
    <row r="40" spans="1:9">
      <c r="A40" s="1651"/>
      <c r="B40" s="1651" t="str">
        <f>项目基本情况!B5</f>
        <v>福州盛景阳光城房地产开发有限公司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郑燚、王鹏</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520</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521</v>
      </c>
      <c r="B6" s="512"/>
      <c r="C6" s="3407" t="s">
        <v>522</v>
      </c>
      <c r="D6" s="3408"/>
      <c r="E6" s="3446" t="s">
        <v>523</v>
      </c>
      <c r="F6" s="3447"/>
      <c r="G6" s="3407" t="s">
        <v>524</v>
      </c>
      <c r="H6" s="3408"/>
      <c r="I6" s="3407" t="s">
        <v>525</v>
      </c>
      <c r="J6" s="3408"/>
      <c r="K6" s="513" t="s">
        <v>526</v>
      </c>
      <c r="L6" s="2129"/>
      <c r="M6" s="2130"/>
      <c r="N6" s="2130"/>
      <c r="O6" s="2130"/>
      <c r="P6" s="3409" t="s">
        <v>527</v>
      </c>
      <c r="Q6" s="3410"/>
      <c r="R6" s="3415" t="s">
        <v>523</v>
      </c>
      <c r="S6" s="3416"/>
      <c r="T6" s="3415" t="s">
        <v>524</v>
      </c>
      <c r="U6" s="3416"/>
      <c r="V6" s="3402" t="s">
        <v>525</v>
      </c>
      <c r="W6" s="3402"/>
      <c r="X6" s="1564"/>
      <c r="Y6" s="3415" t="s">
        <v>527</v>
      </c>
      <c r="Z6" s="3416"/>
      <c r="AA6" s="3404" t="s">
        <v>523</v>
      </c>
      <c r="AB6" s="3405" t="s">
        <v>524</v>
      </c>
      <c r="AC6" s="3404" t="s">
        <v>525</v>
      </c>
    </row>
    <row r="7" spans="1:29" ht="15">
      <c r="A7" s="514"/>
      <c r="B7" s="515"/>
      <c r="C7" s="3440" t="s">
        <v>2918</v>
      </c>
      <c r="D7" s="3441"/>
      <c r="E7" s="3448" t="s">
        <v>2919</v>
      </c>
      <c r="F7" s="3449"/>
      <c r="G7" s="3440" t="s">
        <v>2920</v>
      </c>
      <c r="H7" s="3441"/>
      <c r="I7" s="3440" t="s">
        <v>2921</v>
      </c>
      <c r="J7" s="3441"/>
      <c r="K7" s="513"/>
      <c r="L7" s="2129"/>
      <c r="M7" s="2130"/>
      <c r="N7" s="2130"/>
      <c r="O7" s="2130"/>
      <c r="P7" s="3411"/>
      <c r="Q7" s="3412"/>
      <c r="R7" s="3417"/>
      <c r="S7" s="3418"/>
      <c r="T7" s="3417"/>
      <c r="U7" s="3418"/>
      <c r="V7" s="3402"/>
      <c r="W7" s="3402"/>
      <c r="X7" s="1564"/>
      <c r="Y7" s="3417"/>
      <c r="Z7" s="3418"/>
      <c r="AA7" s="3405"/>
      <c r="AB7" s="3405"/>
      <c r="AC7" s="3405"/>
    </row>
    <row r="8" spans="1:29" ht="15.75" thickBot="1">
      <c r="A8" s="516"/>
      <c r="B8" s="517"/>
      <c r="C8" s="3442" t="s">
        <v>2922</v>
      </c>
      <c r="D8" s="3443"/>
      <c r="E8" s="3444" t="s">
        <v>2922</v>
      </c>
      <c r="F8" s="3445"/>
      <c r="G8" s="3442" t="s">
        <v>2922</v>
      </c>
      <c r="H8" s="3443"/>
      <c r="I8" s="3442" t="s">
        <v>2922</v>
      </c>
      <c r="J8" s="3443"/>
      <c r="K8" s="513" t="s">
        <v>528</v>
      </c>
      <c r="L8" s="2129"/>
      <c r="M8" s="2130"/>
      <c r="N8" s="2130"/>
      <c r="O8" s="2130"/>
      <c r="P8" s="3413"/>
      <c r="Q8" s="3414"/>
      <c r="R8" s="3417"/>
      <c r="S8" s="3418"/>
      <c r="T8" s="3419"/>
      <c r="U8" s="3420"/>
      <c r="V8" s="3402"/>
      <c r="W8" s="3402"/>
      <c r="X8" s="1564"/>
      <c r="Y8" s="3419"/>
      <c r="Z8" s="3420"/>
      <c r="AA8" s="3406"/>
      <c r="AB8" s="3406"/>
      <c r="AC8" s="3406"/>
    </row>
    <row r="9" spans="1:29" s="1218" customFormat="1" ht="15.75" thickBot="1">
      <c r="A9" s="2908"/>
      <c r="B9" s="2915" t="s">
        <v>529</v>
      </c>
      <c r="C9" s="518">
        <f>'数据-取费表'!B2</f>
        <v>43328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3" t="s">
        <v>530</v>
      </c>
      <c r="Q9" s="3435"/>
      <c r="R9" s="1565" t="s">
        <v>8</v>
      </c>
      <c r="S9" s="1566">
        <f t="shared" ref="S9:S17" si="0">F9</f>
        <v>0</v>
      </c>
      <c r="T9" s="1565" t="s">
        <v>8</v>
      </c>
      <c r="U9" s="1566">
        <f t="shared" ref="U9:U17" si="1">H9</f>
        <v>0</v>
      </c>
      <c r="V9" s="1565" t="s">
        <v>8</v>
      </c>
      <c r="W9" s="1566">
        <f t="shared" ref="W9:W17" si="2">J9</f>
        <v>0</v>
      </c>
      <c r="X9" s="1567"/>
      <c r="Y9" s="3433" t="s">
        <v>530</v>
      </c>
      <c r="Z9" s="3434"/>
      <c r="AA9" s="1568" t="e">
        <f>D9/F9</f>
        <v>#DIV/0!</v>
      </c>
      <c r="AB9" s="1568" t="e">
        <f>D9/H9</f>
        <v>#DIV/0!</v>
      </c>
      <c r="AC9" s="1568" t="e">
        <f>D9/J9</f>
        <v>#DIV/0!</v>
      </c>
    </row>
    <row r="10" spans="1:29" s="1218" customFormat="1" ht="15.75" thickBot="1">
      <c r="A10" s="2909"/>
      <c r="B10" s="291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3" t="s">
        <v>533</v>
      </c>
      <c r="Q10" s="3434"/>
      <c r="R10" s="1565" t="s">
        <v>8</v>
      </c>
      <c r="S10" s="1566">
        <f t="shared" si="0"/>
        <v>0</v>
      </c>
      <c r="T10" s="1565" t="s">
        <v>8</v>
      </c>
      <c r="U10" s="1566">
        <f t="shared" si="1"/>
        <v>0</v>
      </c>
      <c r="V10" s="1565" t="s">
        <v>8</v>
      </c>
      <c r="W10" s="1566">
        <f t="shared" si="2"/>
        <v>0</v>
      </c>
      <c r="X10" s="1567"/>
      <c r="Y10" s="3433" t="s">
        <v>533</v>
      </c>
      <c r="Z10" s="3434"/>
      <c r="AA10" s="1568" t="e">
        <f t="shared" ref="AA10:AA42" si="3">D10/F10</f>
        <v>#DIV/0!</v>
      </c>
      <c r="AB10" s="1568" t="e">
        <f t="shared" ref="AB10:AB42" si="4">D10/H10</f>
        <v>#DIV/0!</v>
      </c>
      <c r="AC10" s="1568" t="e">
        <f t="shared" ref="AC10:AC42" si="5">D10/J10</f>
        <v>#DIV/0!</v>
      </c>
    </row>
    <row r="11" spans="1:29" s="1218" customFormat="1" ht="15">
      <c r="A11" s="2910"/>
      <c r="B11" s="2917"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401" t="s">
        <v>535</v>
      </c>
      <c r="Q11" s="1149" t="str">
        <f t="shared" ref="Q11:Q17" si="6">B11</f>
        <v>用途</v>
      </c>
      <c r="R11" s="1565" t="s">
        <v>8</v>
      </c>
      <c r="S11" s="1566">
        <f t="shared" si="0"/>
        <v>100</v>
      </c>
      <c r="T11" s="1565" t="s">
        <v>8</v>
      </c>
      <c r="U11" s="1566">
        <f t="shared" si="1"/>
        <v>100</v>
      </c>
      <c r="V11" s="1565" t="s">
        <v>8</v>
      </c>
      <c r="W11" s="1566">
        <f t="shared" si="2"/>
        <v>100</v>
      </c>
      <c r="X11" s="1567"/>
      <c r="Y11" s="3343" t="s">
        <v>536</v>
      </c>
      <c r="Z11" s="1148" t="str">
        <f t="shared" ref="Z11:Z17" si="7">Q11</f>
        <v>用途</v>
      </c>
      <c r="AA11" s="1568">
        <f t="shared" si="3"/>
        <v>1</v>
      </c>
      <c r="AB11" s="1568">
        <f t="shared" si="4"/>
        <v>1</v>
      </c>
      <c r="AC11" s="1568">
        <f t="shared" si="5"/>
        <v>1</v>
      </c>
    </row>
    <row r="12" spans="1:29" s="1336" customFormat="1" ht="27">
      <c r="A12" s="2911"/>
      <c r="B12" s="2916" t="s">
        <v>2757</v>
      </c>
      <c r="C12" s="527"/>
      <c r="D12" s="254">
        <v>100</v>
      </c>
      <c r="E12" s="527"/>
      <c r="F12" s="254">
        <f>ROUND(100/'数据-取费表'!G16,0)</f>
        <v>100</v>
      </c>
      <c r="G12" s="527"/>
      <c r="H12" s="254">
        <f>ROUND(100/'数据-取费表'!G16,0)</f>
        <v>100</v>
      </c>
      <c r="I12" s="527"/>
      <c r="J12" s="254">
        <f>ROUND(100/'数据-取费表'!G16,0)</f>
        <v>100</v>
      </c>
      <c r="K12" s="530"/>
      <c r="L12" s="2134"/>
      <c r="M12" s="2174"/>
      <c r="N12" s="2174"/>
      <c r="O12" s="2135"/>
      <c r="P12" s="3401"/>
      <c r="Q12" s="1149" t="str">
        <f t="shared" si="6"/>
        <v>土地使用年限（年）</v>
      </c>
      <c r="R12" s="1565" t="s">
        <v>8</v>
      </c>
      <c r="S12" s="1566">
        <f t="shared" si="0"/>
        <v>100</v>
      </c>
      <c r="T12" s="1565" t="s">
        <v>8</v>
      </c>
      <c r="U12" s="1566">
        <f t="shared" si="1"/>
        <v>100</v>
      </c>
      <c r="V12" s="1565" t="s">
        <v>8</v>
      </c>
      <c r="W12" s="1566">
        <f t="shared" si="2"/>
        <v>100</v>
      </c>
      <c r="X12" s="1567"/>
      <c r="Y12" s="3343"/>
      <c r="Z12" s="1148" t="str">
        <f t="shared" si="7"/>
        <v>土地使用年限（年）</v>
      </c>
      <c r="AA12" s="1568">
        <f t="shared" si="3"/>
        <v>1</v>
      </c>
      <c r="AB12" s="1568">
        <f t="shared" si="4"/>
        <v>1</v>
      </c>
      <c r="AC12" s="1568">
        <f t="shared" si="5"/>
        <v>1</v>
      </c>
    </row>
    <row r="13" spans="1:29" ht="15">
      <c r="A13" s="2912"/>
      <c r="B13" s="2916"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401"/>
      <c r="Q13" s="1149" t="str">
        <f t="shared" si="6"/>
        <v>容积率</v>
      </c>
      <c r="R13" s="1565" t="s">
        <v>8</v>
      </c>
      <c r="S13" s="1566" t="e">
        <f t="shared" si="0"/>
        <v>#N/A</v>
      </c>
      <c r="T13" s="1565" t="s">
        <v>8</v>
      </c>
      <c r="U13" s="1566" t="e">
        <f t="shared" si="1"/>
        <v>#N/A</v>
      </c>
      <c r="V13" s="1565" t="s">
        <v>8</v>
      </c>
      <c r="W13" s="1566" t="e">
        <f t="shared" si="2"/>
        <v>#N/A</v>
      </c>
      <c r="X13" s="1567"/>
      <c r="Y13" s="3343"/>
      <c r="Z13" s="1148" t="str">
        <f t="shared" si="7"/>
        <v>容积率</v>
      </c>
      <c r="AA13" s="1568" t="e">
        <f t="shared" si="3"/>
        <v>#N/A</v>
      </c>
      <c r="AB13" s="1568" t="e">
        <f t="shared" si="4"/>
        <v>#N/A</v>
      </c>
      <c r="AC13" s="1568" t="e">
        <f t="shared" si="5"/>
        <v>#N/A</v>
      </c>
    </row>
    <row r="14" spans="1:29" s="1218" customFormat="1" ht="15">
      <c r="A14" s="2913"/>
      <c r="B14" s="2919">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D14/F14</f>
        <v>1</v>
      </c>
      <c r="AB14" s="1568">
        <f>D14/H14</f>
        <v>1</v>
      </c>
      <c r="AC14" s="1568">
        <f>D14/J14</f>
        <v>1</v>
      </c>
    </row>
    <row r="15" spans="1:29" ht="15">
      <c r="A15" s="2913"/>
      <c r="B15" s="2919">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401"/>
      <c r="Q15" s="1149">
        <f t="shared" si="6"/>
        <v>111</v>
      </c>
      <c r="R15" s="1565" t="s">
        <v>8</v>
      </c>
      <c r="S15" s="1566">
        <f t="shared" si="0"/>
        <v>100</v>
      </c>
      <c r="T15" s="1565" t="s">
        <v>8</v>
      </c>
      <c r="U15" s="1566">
        <f t="shared" si="1"/>
        <v>100</v>
      </c>
      <c r="V15" s="1565" t="s">
        <v>8</v>
      </c>
      <c r="W15" s="1566">
        <f t="shared" si="2"/>
        <v>100</v>
      </c>
      <c r="X15" s="1567"/>
      <c r="Y15" s="3343"/>
      <c r="Z15" s="1148">
        <f t="shared" si="7"/>
        <v>111</v>
      </c>
      <c r="AA15" s="1568">
        <f t="shared" si="3"/>
        <v>1</v>
      </c>
      <c r="AB15" s="1568">
        <f t="shared" si="4"/>
        <v>1</v>
      </c>
      <c r="AC15" s="1568">
        <f t="shared" si="5"/>
        <v>1</v>
      </c>
    </row>
    <row r="16" spans="1:29" ht="15.75" thickBot="1">
      <c r="A16" s="2914"/>
      <c r="B16" s="2920">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401"/>
      <c r="Q16" s="1149">
        <f t="shared" si="6"/>
        <v>111</v>
      </c>
      <c r="R16" s="1565" t="s">
        <v>8</v>
      </c>
      <c r="S16" s="1566">
        <f t="shared" si="0"/>
        <v>100</v>
      </c>
      <c r="T16" s="1565" t="s">
        <v>8</v>
      </c>
      <c r="U16" s="1566">
        <f t="shared" si="1"/>
        <v>100</v>
      </c>
      <c r="V16" s="1565" t="s">
        <v>8</v>
      </c>
      <c r="W16" s="1566">
        <f t="shared" si="2"/>
        <v>100</v>
      </c>
      <c r="X16" s="1567"/>
      <c r="Y16" s="3343"/>
      <c r="Z16" s="1148">
        <f t="shared" si="7"/>
        <v>111</v>
      </c>
      <c r="AA16" s="1568">
        <f t="shared" si="3"/>
        <v>1</v>
      </c>
      <c r="AB16" s="1568">
        <f t="shared" si="4"/>
        <v>1</v>
      </c>
      <c r="AC16" s="1568">
        <f t="shared" si="5"/>
        <v>1</v>
      </c>
    </row>
    <row r="17" spans="1:29" ht="15">
      <c r="A17" s="2906" t="s">
        <v>2754</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6" t="s">
        <v>540</v>
      </c>
      <c r="Q17" s="1569" t="str">
        <f t="shared" si="6"/>
        <v>产业集聚程度</v>
      </c>
      <c r="R17" s="1570" t="s">
        <v>8</v>
      </c>
      <c r="S17" s="1571">
        <f t="shared" si="0"/>
        <v>100</v>
      </c>
      <c r="T17" s="1570" t="s">
        <v>8</v>
      </c>
      <c r="U17" s="1571">
        <f t="shared" si="1"/>
        <v>100</v>
      </c>
      <c r="V17" s="1570" t="s">
        <v>8</v>
      </c>
      <c r="W17" s="1571">
        <f t="shared" si="2"/>
        <v>100</v>
      </c>
      <c r="X17" s="1564"/>
      <c r="Y17" s="3436" t="s">
        <v>540</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7"/>
      <c r="Q19" s="1569" t="str">
        <f>B19</f>
        <v>交通便捷度</v>
      </c>
      <c r="R19" s="1570" t="s">
        <v>8</v>
      </c>
      <c r="S19" s="1571">
        <f>F19</f>
        <v>100</v>
      </c>
      <c r="T19" s="1570" t="s">
        <v>8</v>
      </c>
      <c r="U19" s="1571">
        <f>H19</f>
        <v>100</v>
      </c>
      <c r="V19" s="1570" t="s">
        <v>8</v>
      </c>
      <c r="W19" s="1571">
        <f>J19</f>
        <v>100</v>
      </c>
      <c r="X19" s="1564"/>
      <c r="Y19" s="3437"/>
      <c r="Z19" s="1572" t="str">
        <f>Q19</f>
        <v>交通便捷度</v>
      </c>
      <c r="AA19" s="1573">
        <f t="shared" si="3"/>
        <v>1</v>
      </c>
      <c r="AB19" s="1573">
        <f t="shared" si="4"/>
        <v>1</v>
      </c>
      <c r="AC19" s="1573">
        <f t="shared" si="5"/>
        <v>1</v>
      </c>
    </row>
    <row r="20" spans="1:29" ht="15">
      <c r="A20" s="531"/>
      <c r="B20" s="920"/>
      <c r="C20" s="575"/>
      <c r="D20" s="554"/>
      <c r="E20" s="555"/>
      <c r="F20" s="554"/>
      <c r="G20" s="555"/>
      <c r="H20" s="554"/>
      <c r="I20" s="557"/>
      <c r="J20" s="554"/>
      <c r="K20" s="530"/>
      <c r="L20" s="2138"/>
      <c r="M20" s="2130"/>
      <c r="N20" s="2130"/>
      <c r="O20" s="2137"/>
      <c r="P20" s="3437"/>
      <c r="Q20" s="1569"/>
      <c r="R20" s="1570"/>
      <c r="S20" s="1571"/>
      <c r="T20" s="1570"/>
      <c r="U20" s="1571"/>
      <c r="V20" s="1570"/>
      <c r="W20" s="1571"/>
      <c r="X20" s="1564"/>
      <c r="Y20" s="3437"/>
      <c r="Z20" s="1572"/>
      <c r="AA20" s="1573">
        <v>1</v>
      </c>
      <c r="AB20" s="1573">
        <v>1</v>
      </c>
      <c r="AC20" s="1573">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7"/>
      <c r="Q21" s="1569" t="str">
        <f t="shared" ref="Q21:Q35" si="8">B21</f>
        <v>区域土地利用方向</v>
      </c>
      <c r="R21" s="1570" t="s">
        <v>8</v>
      </c>
      <c r="S21" s="1571">
        <f>F21</f>
        <v>100</v>
      </c>
      <c r="T21" s="1570" t="s">
        <v>8</v>
      </c>
      <c r="U21" s="1571">
        <f>H21</f>
        <v>100</v>
      </c>
      <c r="V21" s="1570" t="s">
        <v>8</v>
      </c>
      <c r="W21" s="1571">
        <f>J21</f>
        <v>100</v>
      </c>
      <c r="X21" s="1564"/>
      <c r="Y21" s="343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7"/>
      <c r="Q22" s="1569"/>
      <c r="R22" s="1570"/>
      <c r="S22" s="1571"/>
      <c r="T22" s="1570"/>
      <c r="U22" s="1571"/>
      <c r="V22" s="1570"/>
      <c r="W22" s="1571"/>
      <c r="X22" s="1564"/>
      <c r="Y22" s="3437"/>
      <c r="Z22" s="1572"/>
      <c r="AA22" s="1573"/>
      <c r="AB22" s="1573"/>
      <c r="AC22" s="1573"/>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7"/>
      <c r="Q23" s="1569" t="str">
        <f t="shared" si="8"/>
        <v>环境状况</v>
      </c>
      <c r="R23" s="1570" t="s">
        <v>8</v>
      </c>
      <c r="S23" s="1571">
        <f>F23</f>
        <v>100</v>
      </c>
      <c r="T23" s="1570" t="s">
        <v>8</v>
      </c>
      <c r="U23" s="1571">
        <f>H23</f>
        <v>100</v>
      </c>
      <c r="V23" s="1570" t="s">
        <v>8</v>
      </c>
      <c r="W23" s="1571">
        <f>J23</f>
        <v>100</v>
      </c>
      <c r="X23" s="1564"/>
      <c r="Y23" s="343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7"/>
      <c r="Q24" s="1569"/>
      <c r="R24" s="1570"/>
      <c r="S24" s="1571"/>
      <c r="T24" s="1570"/>
      <c r="U24" s="1571"/>
      <c r="V24" s="1570"/>
      <c r="W24" s="1571"/>
      <c r="X24" s="1564"/>
      <c r="Y24" s="3437"/>
      <c r="Z24" s="1572"/>
      <c r="AA24" s="1573">
        <v>1</v>
      </c>
      <c r="AB24" s="1573">
        <v>1</v>
      </c>
      <c r="AC24" s="1573">
        <v>1</v>
      </c>
    </row>
    <row r="25" spans="1:29" s="1218" customFormat="1" ht="15">
      <c r="A25" s="576"/>
      <c r="B25" s="2589" t="s">
        <v>2548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7"/>
      <c r="Q25" s="1149" t="str">
        <f t="shared" si="8"/>
        <v>公共配套设施</v>
      </c>
      <c r="R25" s="1565" t="s">
        <v>8</v>
      </c>
      <c r="S25" s="1566">
        <f>F25</f>
        <v>100</v>
      </c>
      <c r="T25" s="1565" t="s">
        <v>8</v>
      </c>
      <c r="U25" s="1566">
        <f>H25</f>
        <v>100</v>
      </c>
      <c r="V25" s="1565" t="s">
        <v>8</v>
      </c>
      <c r="W25" s="1566">
        <f>J25</f>
        <v>100</v>
      </c>
      <c r="X25" s="1567"/>
      <c r="Y25" s="3437"/>
      <c r="Z25" s="1148" t="str">
        <f>Q25</f>
        <v>公共配套设施</v>
      </c>
      <c r="AA25" s="1573">
        <f>D25/F25</f>
        <v>1</v>
      </c>
      <c r="AB25" s="1573">
        <f>D25/H25</f>
        <v>1</v>
      </c>
      <c r="AC25" s="1573">
        <f>D25/J25</f>
        <v>1</v>
      </c>
    </row>
    <row r="26" spans="1:29" s="1218" customFormat="1" ht="15">
      <c r="A26" s="576"/>
      <c r="B26" s="594"/>
      <c r="C26" s="2588"/>
      <c r="D26" s="554"/>
      <c r="E26" s="553"/>
      <c r="F26" s="554"/>
      <c r="G26" s="553"/>
      <c r="H26" s="554"/>
      <c r="I26" s="575"/>
      <c r="J26" s="554"/>
      <c r="K26" s="530"/>
      <c r="L26" s="2131"/>
      <c r="M26" s="2132"/>
      <c r="N26" s="2132"/>
      <c r="O26" s="2133"/>
      <c r="P26" s="3437"/>
      <c r="Q26" s="1149"/>
      <c r="R26" s="1565"/>
      <c r="S26" s="1566"/>
      <c r="T26" s="1565"/>
      <c r="U26" s="1566"/>
      <c r="V26" s="1565"/>
      <c r="W26" s="1566"/>
      <c r="X26" s="1567"/>
      <c r="Y26" s="3437"/>
      <c r="Z26" s="1148"/>
      <c r="AA26" s="1568">
        <v>1</v>
      </c>
      <c r="AB26" s="1568">
        <v>1</v>
      </c>
      <c r="AC26" s="1568">
        <v>1</v>
      </c>
    </row>
    <row r="27" spans="1:29" s="1218" customFormat="1" ht="15">
      <c r="A27" s="576"/>
      <c r="B27" s="2589" t="s">
        <v>2549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7"/>
      <c r="Q27" s="2574" t="str">
        <f t="shared" ref="Q27" si="9">B27</f>
        <v>基础设施水平</v>
      </c>
      <c r="R27" s="1565" t="s">
        <v>8</v>
      </c>
      <c r="S27" s="1566">
        <f>F27</f>
        <v>100</v>
      </c>
      <c r="T27" s="1565" t="s">
        <v>8</v>
      </c>
      <c r="U27" s="1566">
        <f>H27</f>
        <v>100</v>
      </c>
      <c r="V27" s="1565" t="s">
        <v>8</v>
      </c>
      <c r="W27" s="1566">
        <f>J27</f>
        <v>100</v>
      </c>
      <c r="X27" s="1567"/>
      <c r="Y27" s="3437"/>
      <c r="Z27" s="2571" t="str">
        <f>Q27</f>
        <v>基础设施水平</v>
      </c>
      <c r="AA27" s="1573">
        <f>D27/F27</f>
        <v>1</v>
      </c>
      <c r="AB27" s="1573">
        <f>D27/H27</f>
        <v>1</v>
      </c>
      <c r="AC27" s="1573">
        <f>D27/J27</f>
        <v>1</v>
      </c>
    </row>
    <row r="28" spans="1:29" s="1218" customFormat="1" ht="15">
      <c r="A28" s="576"/>
      <c r="B28" s="594"/>
      <c r="C28" s="2588"/>
      <c r="D28" s="554"/>
      <c r="E28" s="578"/>
      <c r="F28" s="554"/>
      <c r="G28" s="578"/>
      <c r="H28" s="554"/>
      <c r="I28" s="578"/>
      <c r="J28" s="554"/>
      <c r="K28" s="530"/>
      <c r="L28" s="2131"/>
      <c r="M28" s="2132"/>
      <c r="N28" s="2132"/>
      <c r="O28" s="2133"/>
      <c r="P28" s="3437"/>
      <c r="Q28" s="2574"/>
      <c r="R28" s="1565"/>
      <c r="S28" s="1566"/>
      <c r="T28" s="1565"/>
      <c r="U28" s="1566"/>
      <c r="V28" s="1565"/>
      <c r="W28" s="1566"/>
      <c r="X28" s="1567"/>
      <c r="Y28" s="3437"/>
      <c r="Z28" s="2571"/>
      <c r="AA28" s="1568">
        <v>1</v>
      </c>
      <c r="AB28" s="1568">
        <v>1</v>
      </c>
      <c r="AC28" s="1568">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7"/>
      <c r="Z29" s="1572" t="str">
        <f t="shared" ref="Z29:Z42" si="13">Q29</f>
        <v>临街状况</v>
      </c>
      <c r="AA29" s="1573">
        <f t="shared" si="3"/>
        <v>1</v>
      </c>
      <c r="AB29" s="1573">
        <f t="shared" si="4"/>
        <v>1</v>
      </c>
      <c r="AC29" s="1573">
        <f t="shared" si="5"/>
        <v>1</v>
      </c>
    </row>
    <row r="30" spans="1:29" ht="27">
      <c r="A30" s="531"/>
      <c r="B30" s="920" t="s">
        <v>548</v>
      </c>
      <c r="C30" s="259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7"/>
      <c r="Q30" s="1569" t="str">
        <f t="shared" si="8"/>
        <v>毗邻道路的类型与等级</v>
      </c>
      <c r="R30" s="1570" t="s">
        <v>8</v>
      </c>
      <c r="S30" s="1571">
        <f t="shared" si="10"/>
        <v>100</v>
      </c>
      <c r="T30" s="1570" t="s">
        <v>8</v>
      </c>
      <c r="U30" s="1571">
        <f t="shared" si="11"/>
        <v>100</v>
      </c>
      <c r="V30" s="1570" t="s">
        <v>8</v>
      </c>
      <c r="W30" s="1571">
        <f t="shared" si="12"/>
        <v>100</v>
      </c>
      <c r="X30" s="1564"/>
      <c r="Y30" s="343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7"/>
      <c r="Q31" s="1569"/>
      <c r="R31" s="1570"/>
      <c r="S31" s="1571"/>
      <c r="T31" s="1570"/>
      <c r="U31" s="1571"/>
      <c r="V31" s="1570"/>
      <c r="W31" s="1571"/>
      <c r="X31" s="1564"/>
      <c r="Y31" s="3437"/>
      <c r="Z31" s="1572"/>
      <c r="AA31" s="1573">
        <v>1</v>
      </c>
      <c r="AB31" s="1573">
        <v>1</v>
      </c>
      <c r="AC31" s="1573">
        <v>1</v>
      </c>
    </row>
    <row r="32" spans="1:29" ht="15">
      <c r="A32" s="531"/>
      <c r="B32" s="526" t="s">
        <v>549</v>
      </c>
      <c r="C32" s="259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7"/>
      <c r="Q32" s="1569" t="str">
        <f t="shared" si="8"/>
        <v>土地级别</v>
      </c>
      <c r="R32" s="1570" t="s">
        <v>8</v>
      </c>
      <c r="S32" s="1571">
        <f t="shared" si="10"/>
        <v>100</v>
      </c>
      <c r="T32" s="1570" t="s">
        <v>8</v>
      </c>
      <c r="U32" s="1571">
        <f t="shared" si="11"/>
        <v>100</v>
      </c>
      <c r="V32" s="1570" t="s">
        <v>8</v>
      </c>
      <c r="W32" s="1571">
        <f t="shared" si="12"/>
        <v>100</v>
      </c>
      <c r="X32" s="1564"/>
      <c r="Y32" s="343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7"/>
      <c r="Q33" s="1569">
        <f t="shared" si="8"/>
        <v>111</v>
      </c>
      <c r="R33" s="1570" t="s">
        <v>8</v>
      </c>
      <c r="S33" s="1571">
        <f t="shared" si="10"/>
        <v>100</v>
      </c>
      <c r="T33" s="1570" t="s">
        <v>8</v>
      </c>
      <c r="U33" s="1571">
        <f t="shared" si="11"/>
        <v>100</v>
      </c>
      <c r="V33" s="1570" t="s">
        <v>8</v>
      </c>
      <c r="W33" s="1571">
        <f t="shared" si="12"/>
        <v>100</v>
      </c>
      <c r="X33" s="1564"/>
      <c r="Y33" s="343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8" t="s">
        <v>550</v>
      </c>
      <c r="Q34" s="1569">
        <f t="shared" si="8"/>
        <v>111</v>
      </c>
      <c r="R34" s="1570" t="s">
        <v>8</v>
      </c>
      <c r="S34" s="1571">
        <f t="shared" si="10"/>
        <v>100</v>
      </c>
      <c r="T34" s="1570" t="s">
        <v>8</v>
      </c>
      <c r="U34" s="1571">
        <f t="shared" si="11"/>
        <v>100</v>
      </c>
      <c r="V34" s="1570" t="s">
        <v>8</v>
      </c>
      <c r="W34" s="1571">
        <f t="shared" si="12"/>
        <v>100</v>
      </c>
      <c r="X34" s="1564"/>
      <c r="Y34" s="3439" t="s">
        <v>550</v>
      </c>
      <c r="Z34" s="1572">
        <f t="shared" si="13"/>
        <v>111</v>
      </c>
      <c r="AA34" s="1573">
        <f t="shared" si="3"/>
        <v>1</v>
      </c>
      <c r="AB34" s="1573">
        <f t="shared" si="4"/>
        <v>1</v>
      </c>
      <c r="AC34" s="1573">
        <f t="shared" si="5"/>
        <v>1</v>
      </c>
    </row>
    <row r="35" spans="1:29" s="1337" customFormat="1" ht="15.75" thickBot="1">
      <c r="A35" s="588"/>
      <c r="B35" s="259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9"/>
      <c r="Q35" s="1569">
        <f t="shared" si="8"/>
        <v>111</v>
      </c>
      <c r="R35" s="1574" t="s">
        <v>8</v>
      </c>
      <c r="S35" s="1575">
        <f t="shared" si="10"/>
        <v>100</v>
      </c>
      <c r="T35" s="1574" t="s">
        <v>8</v>
      </c>
      <c r="U35" s="1575">
        <f t="shared" si="11"/>
        <v>100</v>
      </c>
      <c r="V35" s="1574" t="s">
        <v>8</v>
      </c>
      <c r="W35" s="1575">
        <f t="shared" si="12"/>
        <v>100</v>
      </c>
      <c r="X35" s="1576"/>
      <c r="Y35" s="3439"/>
      <c r="Z35" s="1577">
        <f t="shared" si="13"/>
        <v>111</v>
      </c>
      <c r="AA35" s="1573">
        <f t="shared" si="3"/>
        <v>1</v>
      </c>
      <c r="AB35" s="1573">
        <f t="shared" si="4"/>
        <v>1</v>
      </c>
      <c r="AC35" s="1573">
        <f t="shared" si="5"/>
        <v>1</v>
      </c>
    </row>
    <row r="36" spans="1:29" ht="15">
      <c r="A36" s="2903"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9"/>
      <c r="Q36" s="1569" t="str">
        <f>B36</f>
        <v>宗地面积</v>
      </c>
      <c r="R36" s="1570" t="s">
        <v>8</v>
      </c>
      <c r="S36" s="1571" t="e">
        <f t="shared" si="10"/>
        <v>#N/A</v>
      </c>
      <c r="T36" s="1570" t="s">
        <v>8</v>
      </c>
      <c r="U36" s="1571" t="e">
        <f t="shared" si="11"/>
        <v>#N/A</v>
      </c>
      <c r="V36" s="1570" t="s">
        <v>8</v>
      </c>
      <c r="W36" s="1571" t="e">
        <f t="shared" si="12"/>
        <v>#N/A</v>
      </c>
      <c r="X36" s="1564"/>
      <c r="Y36" s="3439"/>
      <c r="Z36" s="1572" t="str">
        <f t="shared" si="13"/>
        <v>宗地面积</v>
      </c>
      <c r="AA36" s="1573" t="e">
        <f t="shared" si="3"/>
        <v>#N/A</v>
      </c>
      <c r="AB36" s="1573" t="e">
        <f t="shared" si="4"/>
        <v>#N/A</v>
      </c>
      <c r="AC36" s="1573"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9"/>
      <c r="Q37" s="1569" t="str">
        <f t="shared" ref="Q37:Q42" si="14">B37</f>
        <v>宗地形状</v>
      </c>
      <c r="R37" s="1570" t="s">
        <v>8</v>
      </c>
      <c r="S37" s="1571">
        <f t="shared" si="10"/>
        <v>100</v>
      </c>
      <c r="T37" s="1570" t="s">
        <v>8</v>
      </c>
      <c r="U37" s="1571">
        <f t="shared" si="11"/>
        <v>100</v>
      </c>
      <c r="V37" s="1570" t="s">
        <v>8</v>
      </c>
      <c r="W37" s="1571">
        <f t="shared" si="12"/>
        <v>100</v>
      </c>
      <c r="X37" s="1564"/>
      <c r="Y37" s="3439"/>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9"/>
      <c r="Q38" s="1569" t="str">
        <f t="shared" si="14"/>
        <v>宗地开发程度</v>
      </c>
      <c r="R38" s="1565" t="s">
        <v>8</v>
      </c>
      <c r="S38" s="1566">
        <f t="shared" si="10"/>
        <v>100</v>
      </c>
      <c r="T38" s="1565" t="s">
        <v>8</v>
      </c>
      <c r="U38" s="1566">
        <f t="shared" si="11"/>
        <v>100</v>
      </c>
      <c r="V38" s="1565" t="s">
        <v>8</v>
      </c>
      <c r="W38" s="1566">
        <f t="shared" si="12"/>
        <v>100</v>
      </c>
      <c r="X38" s="1567"/>
      <c r="Y38" s="3439"/>
      <c r="Z38" s="1148" t="str">
        <f t="shared" si="13"/>
        <v>宗地开发程度</v>
      </c>
      <c r="AA38" s="1568">
        <f t="shared" si="3"/>
        <v>1</v>
      </c>
      <c r="AB38" s="1568">
        <f t="shared" si="4"/>
        <v>1</v>
      </c>
      <c r="AC38" s="1568">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t="s">
        <v>601</v>
      </c>
      <c r="Q39" s="1569" t="str">
        <f t="shared" si="14"/>
        <v>工程地质条件</v>
      </c>
      <c r="R39" s="1570" t="s">
        <v>8</v>
      </c>
      <c r="S39" s="1571">
        <f t="shared" si="10"/>
        <v>100</v>
      </c>
      <c r="T39" s="1570" t="s">
        <v>8</v>
      </c>
      <c r="U39" s="1571">
        <f t="shared" si="11"/>
        <v>100</v>
      </c>
      <c r="V39" s="1570" t="s">
        <v>8</v>
      </c>
      <c r="W39" s="1571">
        <f t="shared" si="12"/>
        <v>100</v>
      </c>
      <c r="X39" s="1564"/>
      <c r="Y39" s="3439" t="s">
        <v>601</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9"/>
      <c r="Q40" s="1569">
        <f t="shared" si="14"/>
        <v>111</v>
      </c>
      <c r="R40" s="1570" t="s">
        <v>8</v>
      </c>
      <c r="S40" s="1571">
        <f t="shared" si="10"/>
        <v>100</v>
      </c>
      <c r="T40" s="1570" t="s">
        <v>8</v>
      </c>
      <c r="U40" s="1571">
        <f t="shared" si="11"/>
        <v>100</v>
      </c>
      <c r="V40" s="1570" t="s">
        <v>8</v>
      </c>
      <c r="W40" s="1571">
        <f t="shared" si="12"/>
        <v>100</v>
      </c>
      <c r="X40" s="1564"/>
      <c r="Y40" s="343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9"/>
      <c r="Q41" s="1569">
        <f t="shared" si="14"/>
        <v>111</v>
      </c>
      <c r="R41" s="1570" t="s">
        <v>8</v>
      </c>
      <c r="S41" s="1571">
        <f t="shared" si="10"/>
        <v>100</v>
      </c>
      <c r="T41" s="1570" t="s">
        <v>8</v>
      </c>
      <c r="U41" s="1571">
        <f t="shared" si="11"/>
        <v>100</v>
      </c>
      <c r="V41" s="1570" t="s">
        <v>8</v>
      </c>
      <c r="W41" s="1571">
        <f t="shared" si="12"/>
        <v>100</v>
      </c>
      <c r="X41" s="1564"/>
      <c r="Y41" s="3439"/>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9"/>
      <c r="Q42" s="1569">
        <f t="shared" si="14"/>
        <v>111</v>
      </c>
      <c r="R42" s="1574" t="s">
        <v>8</v>
      </c>
      <c r="S42" s="1575">
        <f t="shared" si="10"/>
        <v>100</v>
      </c>
      <c r="T42" s="1574" t="s">
        <v>8</v>
      </c>
      <c r="U42" s="1575">
        <f t="shared" si="11"/>
        <v>100</v>
      </c>
      <c r="V42" s="1574" t="s">
        <v>8</v>
      </c>
      <c r="W42" s="1575">
        <f t="shared" si="12"/>
        <v>100</v>
      </c>
      <c r="X42" s="1576"/>
      <c r="Y42" s="3439"/>
      <c r="Z42" s="1577">
        <f t="shared" si="13"/>
        <v>111</v>
      </c>
      <c r="AA42" s="1573">
        <f t="shared" si="3"/>
        <v>1</v>
      </c>
      <c r="AB42" s="1573">
        <f t="shared" si="4"/>
        <v>1</v>
      </c>
      <c r="AC42" s="1573">
        <f t="shared" si="5"/>
        <v>1</v>
      </c>
    </row>
    <row r="43" spans="1:29" ht="15">
      <c r="A43" s="606" t="s">
        <v>556</v>
      </c>
      <c r="B43" s="607" t="s">
        <v>2923</v>
      </c>
      <c r="C43" s="608" t="s">
        <v>1</v>
      </c>
      <c r="D43" s="609"/>
      <c r="E43" s="610"/>
      <c r="F43" s="611"/>
      <c r="G43" s="612"/>
      <c r="H43" s="613"/>
      <c r="I43" s="610"/>
      <c r="J43" s="613"/>
      <c r="K43" s="1338"/>
      <c r="L43" s="2140"/>
      <c r="M43" s="2130"/>
      <c r="N43" s="2130"/>
      <c r="O43" s="2141"/>
      <c r="P43" s="3401" t="str">
        <f>A43</f>
        <v>成交单价</v>
      </c>
      <c r="Q43" s="3401"/>
      <c r="R43" s="3402">
        <f>E43</f>
        <v>0</v>
      </c>
      <c r="S43" s="3402"/>
      <c r="T43" s="3402">
        <f>G43</f>
        <v>0</v>
      </c>
      <c r="U43" s="3402"/>
      <c r="V43" s="3402">
        <f>I43</f>
        <v>0</v>
      </c>
      <c r="W43" s="3402"/>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39"/>
      <c r="L44" s="2140"/>
      <c r="M44" s="2130"/>
      <c r="N44" s="2130"/>
      <c r="O44" s="2141"/>
      <c r="P44" s="3401" t="str">
        <f>A44</f>
        <v>比较价格（元/平方米）</v>
      </c>
      <c r="Q44" s="3401"/>
      <c r="R44" s="3403" t="e">
        <f>ROUND(PRODUCT(R43,AA9:AA42),0)</f>
        <v>#DIV/0!</v>
      </c>
      <c r="S44" s="3403"/>
      <c r="T44" s="3403" t="e">
        <f>ROUND(PRODUCT(T43,AB9:AB42),0)</f>
        <v>#DIV/0!</v>
      </c>
      <c r="U44" s="3403"/>
      <c r="V44" s="3403" t="e">
        <f>ROUND(PRODUCT(V43,AC9:AC42),0)</f>
        <v>#DIV/0!</v>
      </c>
      <c r="W44" s="3403"/>
      <c r="X44" s="1556"/>
      <c r="Y44" s="1556"/>
      <c r="Z44" s="1556"/>
      <c r="AA44" s="1556"/>
      <c r="AB44" s="1556"/>
      <c r="AC44" s="1556"/>
    </row>
    <row r="45" spans="1:29" ht="15.75" thickBot="1">
      <c r="A45" s="620" t="s">
        <v>2924</v>
      </c>
      <c r="B45" s="621"/>
      <c r="C45" s="622" t="e">
        <f>R45</f>
        <v>#DIV/0!</v>
      </c>
      <c r="D45" s="622"/>
      <c r="E45" s="622"/>
      <c r="F45" s="622"/>
      <c r="G45" s="622"/>
      <c r="H45" s="622"/>
      <c r="I45" s="622"/>
      <c r="J45" s="622"/>
      <c r="K45" s="1340"/>
      <c r="L45" s="2140"/>
      <c r="M45" s="2130"/>
      <c r="N45" s="2130"/>
      <c r="O45" s="2141"/>
      <c r="P45" s="3398" t="str">
        <f>A45</f>
        <v>估价对象XX用房的比较价格（楼面单价，元/平方米）</v>
      </c>
      <c r="Q45" s="3399"/>
      <c r="R45" s="3400" t="e">
        <f>ROUND(AVERAGE(R44:V44),0)</f>
        <v>#DIV/0!</v>
      </c>
      <c r="S45" s="3400"/>
      <c r="T45" s="3400"/>
      <c r="U45" s="3400"/>
      <c r="V45" s="3400"/>
      <c r="W45" s="340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560</v>
      </c>
      <c r="B52" s="629" t="s">
        <v>561</v>
      </c>
      <c r="C52" s="1557" t="s">
        <v>1725</v>
      </c>
      <c r="D52" s="2223" t="s">
        <v>2294</v>
      </c>
      <c r="E52" s="630" t="s">
        <v>562</v>
      </c>
      <c r="F52" s="1947" t="s">
        <v>563</v>
      </c>
      <c r="G52" s="3450" t="s">
        <v>2285</v>
      </c>
      <c r="H52" s="3451"/>
      <c r="I52" s="1948" t="s">
        <v>1948</v>
      </c>
      <c r="J52" s="1552" t="str">
        <f>项目基本情况!F41</f>
        <v>福建省福州市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564</v>
      </c>
      <c r="B53" s="633" t="e">
        <f>C45</f>
        <v>#DIV/0!</v>
      </c>
      <c r="C53" s="634">
        <v>1</v>
      </c>
      <c r="D53" s="2224">
        <v>1</v>
      </c>
      <c r="E53" s="634">
        <f>'数据-汇总表'!E8+'数据-汇总表'!E9</f>
        <v>27312.92</v>
      </c>
      <c r="F53" s="1946" t="e">
        <f t="shared" ref="F53:F62" si="15">ROUND(B53*E53/10000,0)</f>
        <v>#DIV/0!</v>
      </c>
      <c r="G53" s="3452"/>
      <c r="H53" s="3453"/>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565</v>
      </c>
      <c r="B54" s="637" t="e">
        <f>ROUND($C$45*C54*D54,0)</f>
        <v>#DIV/0!</v>
      </c>
      <c r="C54" s="377">
        <f t="shared" ref="C54:C62" si="16">IF($C$52="北京市系数",I54,J54)</f>
        <v>0</v>
      </c>
      <c r="D54" s="2225">
        <v>0.25</v>
      </c>
      <c r="E54" s="638"/>
      <c r="F54" s="1946" t="e">
        <f t="shared" si="15"/>
        <v>#DIV/0!</v>
      </c>
      <c r="G54" s="3454"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566</v>
      </c>
      <c r="B55" s="637" t="e">
        <f t="shared" ref="B55:B62" si="17">ROUND($C$45*C55*D55,0)</f>
        <v>#DIV/0!</v>
      </c>
      <c r="C55" s="377">
        <f t="shared" si="16"/>
        <v>0</v>
      </c>
      <c r="D55" s="2225">
        <v>0.25</v>
      </c>
      <c r="E55" s="638"/>
      <c r="F55" s="1946" t="e">
        <f t="shared" si="15"/>
        <v>#DIV/0!</v>
      </c>
      <c r="G55" s="3454"/>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567</v>
      </c>
      <c r="B56" s="637" t="e">
        <f t="shared" si="17"/>
        <v>#DIV/0!</v>
      </c>
      <c r="C56" s="377">
        <f t="shared" si="16"/>
        <v>0</v>
      </c>
      <c r="D56" s="2225">
        <v>0.25</v>
      </c>
      <c r="E56" s="638"/>
      <c r="F56" s="1946" t="e">
        <f t="shared" si="15"/>
        <v>#DIV/0!</v>
      </c>
      <c r="G56" s="3454"/>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568</v>
      </c>
      <c r="B57" s="637" t="e">
        <f t="shared" si="17"/>
        <v>#DIV/0!</v>
      </c>
      <c r="C57" s="377">
        <f t="shared" si="16"/>
        <v>0</v>
      </c>
      <c r="D57" s="2225">
        <v>0.25</v>
      </c>
      <c r="E57" s="638"/>
      <c r="F57" s="1946" t="e">
        <f t="shared" si="15"/>
        <v>#DIV/0!</v>
      </c>
      <c r="G57" s="3454"/>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569</v>
      </c>
      <c r="B59" s="637" t="e">
        <f t="shared" si="17"/>
        <v>#DIV/0!</v>
      </c>
      <c r="C59" s="377">
        <f t="shared" si="16"/>
        <v>0</v>
      </c>
      <c r="D59" s="2225">
        <v>0.25</v>
      </c>
      <c r="E59" s="640">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570</v>
      </c>
      <c r="B60" s="637" t="e">
        <f t="shared" si="17"/>
        <v>#DIV/0!</v>
      </c>
      <c r="C60" s="377">
        <f t="shared" si="16"/>
        <v>0</v>
      </c>
      <c r="D60" s="2225">
        <v>0.25</v>
      </c>
      <c r="E60" s="640">
        <f>'数据-汇总表'!E13</f>
        <v>28630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571</v>
      </c>
      <c r="B61" s="637" t="e">
        <f t="shared" si="17"/>
        <v>#DIV/0!</v>
      </c>
      <c r="C61" s="377">
        <f t="shared" si="16"/>
        <v>0</v>
      </c>
      <c r="D61" s="2225">
        <v>0.25</v>
      </c>
      <c r="E61" s="640">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572</v>
      </c>
      <c r="B62" s="637" t="e">
        <f t="shared" si="17"/>
        <v>#DIV/0!</v>
      </c>
      <c r="C62" s="377">
        <f t="shared" si="16"/>
        <v>0</v>
      </c>
      <c r="D62" s="2225">
        <v>0.25</v>
      </c>
      <c r="E62" s="640">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573</v>
      </c>
      <c r="B63" s="642" t="s">
        <v>17</v>
      </c>
      <c r="C63" s="642" t="s">
        <v>18</v>
      </c>
      <c r="D63" s="642" t="s">
        <v>2295</v>
      </c>
      <c r="E63" s="642">
        <f>IF(B43="楼面地价",SUM(E53:E62),'数据-汇总表'!D3)</f>
        <v>17908.099999999999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2018-8-1</v>
      </c>
      <c r="D65" s="2795">
        <f>EDATE(C65,-3)</f>
        <v>43221</v>
      </c>
      <c r="E65" s="2795">
        <f t="shared" ref="E65:N65" si="18">EDATE(D65,-3)</f>
        <v>43132</v>
      </c>
      <c r="F65" s="2795">
        <f t="shared" si="18"/>
        <v>43040</v>
      </c>
      <c r="G65" s="2795">
        <f t="shared" si="18"/>
        <v>42948</v>
      </c>
      <c r="H65" s="2795">
        <f t="shared" si="18"/>
        <v>42856</v>
      </c>
      <c r="I65" s="2795">
        <f t="shared" si="18"/>
        <v>42767</v>
      </c>
      <c r="J65" s="2795">
        <f t="shared" si="18"/>
        <v>42675</v>
      </c>
      <c r="K65" s="2795">
        <f t="shared" si="18"/>
        <v>42583</v>
      </c>
      <c r="L65" s="2795">
        <f t="shared" si="18"/>
        <v>42491</v>
      </c>
      <c r="M65" s="2795">
        <f t="shared" si="18"/>
        <v>42401</v>
      </c>
      <c r="N65" s="2795">
        <f t="shared" si="18"/>
        <v>42309</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64" t="s">
        <v>2533</v>
      </c>
      <c r="B67" s="645"/>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8" t="str">
        <f>"北京市平均增长率"&amp;TEXT(基准地价!P24,"0.00%")</f>
        <v>北京市平均增长率1.41%</v>
      </c>
      <c r="C68" s="892">
        <v>100</v>
      </c>
      <c r="D68" s="729"/>
      <c r="E68" s="729"/>
      <c r="F68" s="729"/>
      <c r="G68" s="729"/>
      <c r="H68" s="729"/>
      <c r="I68" s="729"/>
      <c r="J68" s="729"/>
      <c r="K68" s="729"/>
      <c r="L68" s="729"/>
      <c r="M68" s="2788"/>
      <c r="N68" s="2789"/>
      <c r="O68" s="2158"/>
      <c r="P68" s="2154"/>
      <c r="Q68" s="1989"/>
      <c r="R68" s="1989"/>
      <c r="S68" s="1989"/>
      <c r="T68" s="1989"/>
      <c r="U68" s="1989"/>
      <c r="V68" s="1989"/>
      <c r="W68" s="1989"/>
      <c r="X68" s="1989"/>
      <c r="Y68" s="1989"/>
      <c r="Z68" s="1989"/>
      <c r="AA68" s="1989"/>
      <c r="AB68" s="1989"/>
      <c r="AC68" s="1989"/>
    </row>
    <row r="69" spans="1:29" s="1218" customFormat="1" ht="15.75" thickBot="1">
      <c r="A69" s="652" t="s">
        <v>575</v>
      </c>
      <c r="B69" s="653"/>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5">
      <c r="A70" s="658" t="s">
        <v>531</v>
      </c>
      <c r="B70" s="647"/>
      <c r="C70" s="659" t="s">
        <v>576</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577</v>
      </c>
      <c r="B72" s="664" t="s">
        <v>534</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537</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539</v>
      </c>
      <c r="B85" s="664" t="s">
        <v>602</v>
      </c>
      <c r="C85" s="702" t="s">
        <v>579</v>
      </c>
      <c r="D85" s="702" t="s">
        <v>580</v>
      </c>
      <c r="E85" s="702" t="s">
        <v>581</v>
      </c>
      <c r="F85" s="702" t="s">
        <v>582</v>
      </c>
      <c r="G85" s="702" t="s">
        <v>583</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586</v>
      </c>
      <c r="C87" s="707" t="s">
        <v>579</v>
      </c>
      <c r="D87" s="707" t="s">
        <v>580</v>
      </c>
      <c r="E87" s="707" t="s">
        <v>581</v>
      </c>
      <c r="F87" s="707" t="s">
        <v>582</v>
      </c>
      <c r="G87" s="707" t="s">
        <v>583</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579</v>
      </c>
      <c r="D93" s="702" t="s">
        <v>580</v>
      </c>
      <c r="E93" s="702" t="s">
        <v>581</v>
      </c>
      <c r="F93" s="702" t="s">
        <v>582</v>
      </c>
      <c r="G93" s="702" t="s">
        <v>583</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593" t="s">
        <v>2550</v>
      </c>
      <c r="C95" s="2594" t="s">
        <v>2551</v>
      </c>
      <c r="D95" s="2594" t="s">
        <v>2552</v>
      </c>
      <c r="E95" s="2594" t="s">
        <v>2553</v>
      </c>
      <c r="F95" s="2594" t="s">
        <v>2554</v>
      </c>
      <c r="G95" s="2594"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6"/>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589</v>
      </c>
      <c r="D97" s="673" t="s">
        <v>590</v>
      </c>
      <c r="E97" s="673" t="s">
        <v>591</v>
      </c>
      <c r="F97" s="673" t="s">
        <v>592</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548</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549</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5" t="str">
        <f t="shared" si="25"/>
        <v>(含)-</v>
      </c>
      <c r="L109" s="3086" t="str">
        <f t="shared" si="25"/>
        <v>(含)-</v>
      </c>
      <c r="M109" s="3087"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594</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596</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2" t="s">
        <v>2762</v>
      </c>
      <c r="S1" s="2932" t="s">
        <v>2763</v>
      </c>
      <c r="T1" s="2932" t="s">
        <v>2784</v>
      </c>
      <c r="U1" s="2932" t="s">
        <v>2785</v>
      </c>
      <c r="V1" s="2932" t="s">
        <v>2786</v>
      </c>
      <c r="W1" s="2185"/>
      <c r="X1" s="2185"/>
      <c r="Y1" s="2185"/>
      <c r="Z1" s="2185"/>
      <c r="AA1" s="2185"/>
      <c r="AB1" s="2185"/>
      <c r="AC1" s="2186"/>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8" t="s">
        <v>1688</v>
      </c>
      <c r="B3" s="1036" t="e">
        <f>ROUND(B2*10000/D1,0)</f>
        <v>#DIV/0!</v>
      </c>
      <c r="C3" s="1404" t="s">
        <v>927</v>
      </c>
      <c r="D3" s="1405" t="s">
        <v>928</v>
      </c>
      <c r="E3" s="1409"/>
      <c r="F3" s="1410" t="s">
        <v>2925</v>
      </c>
      <c r="G3" s="1037">
        <f>IF(F3="宗地容积率",'数据-汇总表'!I4,IF(F3="估价对象容积率",'数据-汇总表'!I6,'数据-汇总表'!I7))</f>
        <v>2.2999999999999998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8" customFormat="1" ht="15.75" thickBot="1">
      <c r="A5" s="1635" t="s">
        <v>1824</v>
      </c>
      <c r="B5" s="1412" t="s">
        <v>931</v>
      </c>
      <c r="C5" s="1039" t="e">
        <f>ROUND(IF(E2="商业",IF(F16="增加",C6*C7+C16,C6*C7-C16),IF(E2="住宅",IF(F16="增加",C6*C12+C16,C6*C12-C16),IF(F16="增加",C6+C16,C6-C16))),0)</f>
        <v>#DIV/0!</v>
      </c>
      <c r="D5" s="3113">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6"/>
      <c r="AE6" s="1416"/>
      <c r="AF6" s="1416"/>
      <c r="AG6" s="1416"/>
      <c r="AH6" s="1416"/>
      <c r="AI6" s="1416"/>
      <c r="AJ6" s="1417"/>
    </row>
    <row r="7" spans="1:39" ht="24">
      <c r="A7" s="3464"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2765</v>
      </c>
      <c r="X7" s="2923">
        <f>G2</f>
        <v>0</v>
      </c>
      <c r="Y7" s="2923" t="s">
        <v>2766</v>
      </c>
      <c r="Z7" s="2924">
        <f>G3</f>
        <v>2.2999999999999998</v>
      </c>
      <c r="AA7" s="2188"/>
      <c r="AB7" s="2188"/>
      <c r="AC7" s="2189"/>
      <c r="AD7" s="2925"/>
      <c r="AE7" s="2925"/>
      <c r="AF7" s="2925"/>
      <c r="AG7" s="2925"/>
      <c r="AH7" s="2925"/>
      <c r="AI7" s="2925"/>
      <c r="AJ7" s="2926"/>
    </row>
    <row r="8" spans="1:39" ht="15">
      <c r="A8" s="3465"/>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456" t="s">
        <v>2783</v>
      </c>
      <c r="X8" s="3457"/>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65"/>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455"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65"/>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455"/>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65"/>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455" t="s">
        <v>2781</v>
      </c>
      <c r="X11" s="1046" t="s">
        <v>2766</v>
      </c>
      <c r="Y11" s="1650">
        <f>$G$3</f>
        <v>2.2999999999999998</v>
      </c>
      <c r="Z11" s="1650">
        <f t="shared" ref="Z11:AJ11" si="3">$G$3</f>
        <v>2.2999999999999998</v>
      </c>
      <c r="AA11" s="1650">
        <f t="shared" si="3"/>
        <v>2.2999999999999998</v>
      </c>
      <c r="AB11" s="1650">
        <f t="shared" si="3"/>
        <v>2.2999999999999998</v>
      </c>
      <c r="AC11" s="1650">
        <f t="shared" si="3"/>
        <v>2.2999999999999998</v>
      </c>
      <c r="AD11" s="1650">
        <f t="shared" si="3"/>
        <v>2.2999999999999998</v>
      </c>
      <c r="AE11" s="1650">
        <f t="shared" si="3"/>
        <v>2.2999999999999998</v>
      </c>
      <c r="AF11" s="1650">
        <f t="shared" si="3"/>
        <v>2.2999999999999998</v>
      </c>
      <c r="AG11" s="1650">
        <f t="shared" si="3"/>
        <v>2.2999999999999998</v>
      </c>
      <c r="AH11" s="1650">
        <f t="shared" si="3"/>
        <v>2.2999999999999998</v>
      </c>
      <c r="AI11" s="1650">
        <f t="shared" si="3"/>
        <v>2.2999999999999998</v>
      </c>
      <c r="AJ11" s="1650">
        <f t="shared" si="3"/>
        <v>2.2999999999999998</v>
      </c>
    </row>
    <row r="12" spans="1:39" ht="25.5" thickBot="1">
      <c r="A12" s="3464"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455"/>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66"/>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3">
        <v>12</v>
      </c>
      <c r="S13" s="2922"/>
      <c r="T13" s="2933" t="e">
        <f t="shared" si="0"/>
        <v>#DIV/0!</v>
      </c>
      <c r="U13" s="2922"/>
      <c r="V13" s="2933" t="e">
        <f t="shared" si="1"/>
        <v>#DIV/0!</v>
      </c>
      <c r="W13" s="3455"/>
      <c r="X13" s="2930"/>
      <c r="Y13" s="2929">
        <f>(-0.163*(Y12^2)-0.59*Y12+7617)*(10^(-4))/Y11</f>
        <v>0.33117391304347832</v>
      </c>
      <c r="Z13" s="2929">
        <f t="shared" ref="Z13:AJ13" si="5">(-0.163*(Z12^2)-0.59*Z12+7617)*(10^(-4))/Z11</f>
        <v>0.33117391304347832</v>
      </c>
      <c r="AA13" s="2929">
        <f t="shared" si="5"/>
        <v>0.33117391304347832</v>
      </c>
      <c r="AB13" s="2929">
        <f t="shared" si="5"/>
        <v>0.33117391304347832</v>
      </c>
      <c r="AC13" s="2929">
        <f t="shared" si="5"/>
        <v>0.33117391304347832</v>
      </c>
      <c r="AD13" s="2929">
        <f t="shared" si="5"/>
        <v>0.33117391304347832</v>
      </c>
      <c r="AE13" s="2929">
        <f t="shared" si="5"/>
        <v>0.33117391304347832</v>
      </c>
      <c r="AF13" s="2929">
        <f t="shared" si="5"/>
        <v>0.33117391304347832</v>
      </c>
      <c r="AG13" s="2929">
        <f t="shared" si="5"/>
        <v>0.33117391304347832</v>
      </c>
      <c r="AH13" s="2929">
        <f t="shared" si="5"/>
        <v>0.33117391304347832</v>
      </c>
      <c r="AI13" s="2929">
        <f t="shared" si="5"/>
        <v>0.33117391304347832</v>
      </c>
      <c r="AJ13" s="2929">
        <f t="shared" si="5"/>
        <v>0.33117391304347832</v>
      </c>
    </row>
    <row r="14" spans="1:39" ht="12.75" customHeight="1" thickBot="1">
      <c r="A14" s="3466"/>
      <c r="B14" s="1448"/>
      <c r="C14" s="1449"/>
      <c r="D14" s="1450"/>
      <c r="E14" s="1450"/>
      <c r="F14" s="1451"/>
      <c r="G14" s="1452" t="s">
        <v>949</v>
      </c>
      <c r="H14" s="1453"/>
      <c r="I14" s="1454"/>
      <c r="J14" s="1455"/>
      <c r="K14" s="1398"/>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467"/>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3">
        <v>14</v>
      </c>
      <c r="S15" s="2922"/>
      <c r="T15" s="2933" t="e">
        <f t="shared" si="0"/>
        <v>#DIV/0!</v>
      </c>
      <c r="U15" s="2922"/>
      <c r="V15" s="2933" t="e">
        <f t="shared" si="1"/>
        <v>#DIV/0!</v>
      </c>
      <c r="W15" s="2185"/>
      <c r="X15" s="2185"/>
      <c r="Y15" s="2185"/>
      <c r="Z15" s="2185"/>
      <c r="AA15" s="2185"/>
      <c r="AB15" s="2185"/>
      <c r="AC15" s="2186"/>
    </row>
    <row r="16" spans="1:39" ht="24">
      <c r="A16" s="3464"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465"/>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ROUND(IF(H19="按公示增长率计算",SUMPRODUCT((地价!A3:A23=YEAR(G19)&amp;"-"&amp;ROUNDUP(MONTH(G19)/3,0))*(地价!X2:AB2=E2)*(地价!X3:AB23)),IF(H19="地价指数",M20/M19,(1+I19)^O19)),4)</f>
        <v>#DIV/0!</v>
      </c>
      <c r="D19" s="1471" t="s">
        <v>958</v>
      </c>
      <c r="E19" s="1056">
        <v>41640</v>
      </c>
      <c r="F19" s="1471" t="s">
        <v>959</v>
      </c>
      <c r="G19" s="1057">
        <f>'数据-取费表'!B2</f>
        <v>43328</v>
      </c>
      <c r="H19" s="1472" t="s">
        <v>2926</v>
      </c>
      <c r="I19" s="2780" t="str">
        <f>IF(H19="季度增幅（自定义）",SUMIF(N21:N24,E2,O21:O24),"")</f>
        <v/>
      </c>
      <c r="J19" s="1468"/>
      <c r="K19" s="1478"/>
      <c r="L19" s="3035" t="s">
        <v>2841</v>
      </c>
      <c r="M19" s="3036">
        <f>ROUND(SUMIF(地价!B2:F2,E2,地价!B23:F23),0)</f>
        <v>0</v>
      </c>
      <c r="N19" s="2782" t="s">
        <v>1677</v>
      </c>
      <c r="O19" s="2781">
        <f>ROUNDDOWN(DATEDIF(E19,G19,"M")/3,0)</f>
        <v>18</v>
      </c>
      <c r="P19" s="1593"/>
      <c r="R19" s="2921"/>
      <c r="S19" s="2921"/>
      <c r="T19" s="2921"/>
      <c r="U19" s="2921"/>
      <c r="V19" s="2921"/>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74" t="s">
        <v>1837</v>
      </c>
      <c r="B20" s="2775" t="s">
        <v>972</v>
      </c>
      <c r="C20" s="2776" t="e">
        <f>ROUND(POWER(1+G20,J20-I20)*(POWER(1+G20,I20)-1)/(POWER(1+G20,J20)-1),4)</f>
        <v>#DIV/0!</v>
      </c>
      <c r="D20" s="2777" t="s">
        <v>973</v>
      </c>
      <c r="E20" s="3088">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7" t="s">
        <v>2842</v>
      </c>
      <c r="M20" s="3038">
        <f>ROUND(SUMPRODUCT((地价!A4:A23=YEAR(G19)&amp;"-"&amp;ROUNDUP(MONTH(G19)/3,0))*(地价!B2:F2=E2)*(地价!B4:F23)),0)</f>
        <v>0</v>
      </c>
      <c r="N20" s="2785" t="s">
        <v>2645</v>
      </c>
      <c r="O20" s="2783" t="s">
        <v>2644</v>
      </c>
      <c r="P20" s="2784" t="s">
        <v>2650</v>
      </c>
      <c r="R20" s="2921"/>
      <c r="S20" s="2921"/>
      <c r="T20" s="2921"/>
      <c r="U20" s="2921"/>
      <c r="V20" s="2921"/>
      <c r="W20" s="2191"/>
      <c r="X20" s="2191"/>
      <c r="Y20" s="2191"/>
      <c r="Z20" s="2191"/>
      <c r="AA20" s="2191"/>
      <c r="AB20" s="2191"/>
      <c r="AC20" s="2191"/>
      <c r="AD20" s="1469"/>
      <c r="AE20" s="1469"/>
      <c r="AF20" s="1469"/>
      <c r="AG20" s="1469"/>
      <c r="AH20" s="1469"/>
      <c r="AI20" s="1469"/>
    </row>
    <row r="21" spans="1:40" s="1418" customFormat="1" ht="14.25">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SUMPRODUCT((地价!A3:A23=YEAR(G19)&amp;"-"&amp;ROUNDUP(MONTH(G19)/3,0))*(地价!AD2:AH2=N21)*(地价!AD3:AH23))</f>
        <v>1.54E-2</v>
      </c>
      <c r="R21" s="2921"/>
      <c r="S21" s="2921"/>
      <c r="T21" s="2921"/>
      <c r="U21" s="2921"/>
      <c r="V21" s="2921"/>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8" t="s">
        <v>1703</v>
      </c>
      <c r="D22" s="1058" t="b">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2.2999999999999998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SUMPRODUCT((地价!A3:A23=YEAR(G19)&amp;"-"&amp;ROUNDUP(MONTH(G19)/3,0))*(地价!AD2:AH2=N22)*(地价!AD3:AH23))</f>
        <v>1.54E-2</v>
      </c>
      <c r="R22" s="2921"/>
      <c r="S22" s="2921"/>
      <c r="T22" s="2921"/>
      <c r="U22" s="2921"/>
      <c r="V22" s="2921"/>
      <c r="W22" s="2191"/>
      <c r="X22" s="2191"/>
      <c r="Y22" s="2191"/>
      <c r="Z22" s="2191"/>
      <c r="AA22" s="2191"/>
      <c r="AB22" s="2191"/>
      <c r="AC22" s="2191"/>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SUMPRODUCT((地价!A3:A23=YEAR(G19)&amp;"-"&amp;ROUNDUP(MONTH(G19)/3,0))*(地价!AD2:AH2=N24)*(地价!AD3:AH23))</f>
        <v>1.41E-2</v>
      </c>
      <c r="R24" s="2921"/>
      <c r="S24" s="2921"/>
      <c r="T24" s="2921"/>
      <c r="U24" s="2921"/>
      <c r="V24" s="2921"/>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6"/>
      <c r="B26" s="1480" t="s">
        <v>987</v>
      </c>
      <c r="C26" s="1061" t="e">
        <f>E29+SUM(E33:E39)</f>
        <v>#DIV/0!</v>
      </c>
      <c r="D26" s="1487"/>
      <c r="E26" s="1453"/>
      <c r="F26" s="1488"/>
      <c r="G26" s="1453"/>
      <c r="H26" s="1453"/>
      <c r="I26" s="1453"/>
      <c r="J26" s="1489"/>
      <c r="K26" s="1398"/>
      <c r="L26" s="2191"/>
      <c r="M26" s="2191"/>
      <c r="N26" s="2191"/>
      <c r="O26" s="2191"/>
      <c r="P26" s="2191"/>
      <c r="Q26" s="2191"/>
      <c r="R26" s="2921"/>
      <c r="S26" s="2921"/>
      <c r="T26" s="2921"/>
      <c r="U26" s="2921"/>
      <c r="V26" s="2921"/>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1"/>
      <c r="S27" s="2921"/>
      <c r="T27" s="2921"/>
      <c r="U27" s="2921"/>
      <c r="V27" s="2921"/>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921"/>
      <c r="S28" s="2921"/>
      <c r="T28" s="2921"/>
      <c r="U28" s="2921"/>
      <c r="V28" s="2921"/>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1"/>
      <c r="S29" s="2921"/>
      <c r="T29" s="2921"/>
      <c r="U29" s="2921"/>
      <c r="V29" s="2921"/>
      <c r="W29" s="2191"/>
      <c r="X29" s="2191"/>
      <c r="Y29" s="2191"/>
      <c r="Z29" s="2191"/>
      <c r="AA29" s="2191"/>
      <c r="AB29" s="2191"/>
      <c r="AC29" s="2191"/>
      <c r="AH29" s="1399"/>
      <c r="AI29" s="1399"/>
      <c r="AJ29" s="1402"/>
      <c r="AK29" s="1402"/>
      <c r="AL29" s="1402"/>
      <c r="AM29" s="1402"/>
    </row>
    <row r="30" spans="1:40" ht="24.75"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70" t="s">
        <v>2952</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71"/>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71"/>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2"/>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1021</v>
      </c>
      <c r="B47" s="2407" t="str">
        <f>估价对象房地状况!C16</f>
        <v>估价对象位于福建省鼓楼区龙庭路，周边商业氛围成熟度较好，人流量较大，商业繁华较好。</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72">
      <c r="A48" s="1065" t="s">
        <v>1022</v>
      </c>
      <c r="B48" s="2404" t="str">
        <f>估价对象房地状况!C18</f>
        <v>估价对象周边道路密集程度较好、公共交通通达情况较好、有7、8、19等公共交通，停车便捷程度较好，综合评价交通便捷度较好。</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区域内多为住宅用地，土地利用方向较一致，对土地利用无不利影响。</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1024</v>
      </c>
      <c r="B50" s="3090" t="s">
        <v>2928</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城市支路——龙庭路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1026</v>
      </c>
      <c r="B52" s="3089" t="s">
        <v>2927</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20">
      <c r="A53" s="2436" t="s">
        <v>1027</v>
      </c>
      <c r="B5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36" t="s">
        <v>1028</v>
      </c>
      <c r="B54" s="2404" t="str">
        <f>估价对象房地状况!C22</f>
        <v>估价对象所在区域基础设施水平达到“六通”。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75" thickBot="1">
      <c r="A55" s="2437" t="s">
        <v>1029</v>
      </c>
      <c r="B55" s="2408" t="str">
        <f>估价对象房地状况!C20</f>
        <v>区域自然环境：爱民园、于山风景区等；人文环境：孝悌图书馆、福建大剧院；综合评价环境状况较好。</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72">
      <c r="A59" s="1065" t="s">
        <v>1022</v>
      </c>
      <c r="B59" s="2404" t="str">
        <f>估价对象房地状况!C18</f>
        <v>估价对象周边道路密集程度较好、公共交通通达情况较好、有7、8、19等公共交通，停车便捷程度较好，综合评价交通便捷度较好。</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区域内多为住宅用地，土地利用方向较一致，对土地利用无不利影响。</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1024</v>
      </c>
      <c r="B61" s="3090" t="s">
        <v>2929</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城市支路——龙庭路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1026</v>
      </c>
      <c r="B63" s="3089" t="s">
        <v>2927</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20">
      <c r="A64" s="1065" t="s">
        <v>1027</v>
      </c>
      <c r="B64"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1028</v>
      </c>
      <c r="B65" s="2405" t="str">
        <f>估价对象房地状况!C22</f>
        <v>估价对象所在区域基础设施水平达到“六通”。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75" thickBot="1">
      <c r="A66" s="2437" t="s">
        <v>1029</v>
      </c>
      <c r="B66" s="2409" t="str">
        <f>估价对象房地状况!C20</f>
        <v>区域自然环境：爱民园、于山风景区等；人文环境：孝悌图书馆、福建大剧院；综合评价环境状况较好。</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5" t="s">
        <v>1033</v>
      </c>
      <c r="B69" s="2407" t="str">
        <f>估价对象房地状况!C15</f>
        <v>估价对象周边居住用地比例较大、居住小区规模较大和社区发展完善程度好，综合评价居住社区成熟度好。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72">
      <c r="A70" s="1065" t="s">
        <v>1034</v>
      </c>
      <c r="B70" s="2404" t="str">
        <f>估价对象房地状况!C18</f>
        <v>估价对象周边道路密集程度较好、公共交通通达情况较好、有7、8、19等公共交通，停车便捷程度较好，综合评价交通便捷度较好。</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区域内多为住宅用地，土地利用方向较一致，对土地利用无不利影响。</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1035</v>
      </c>
      <c r="B72" s="2404" t="str">
        <f>估价对象房地状况!C24</f>
        <v>城市支路——龙庭路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20">
      <c r="A73" s="1065" t="s">
        <v>1027</v>
      </c>
      <c r="B73" s="2405" t="str">
        <f>估价对象房地状况!C21</f>
        <v>估价对象所在区域2公里范围内有：银行（邮政银行、中国银行），购物（正大广场购物中心、华翔超市），医院（福州市妇幼保健院、福州第六医院），学校（福州市鼓楼第五中心小学、闽江学院附属中学）等，公共配套设施齐备情况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1028</v>
      </c>
      <c r="B74" s="2405" t="str">
        <f>估价对象房地状况!C22</f>
        <v>估价对象所在区域基础设施水平达到“六通”。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1026</v>
      </c>
      <c r="B75" s="3089" t="s">
        <v>2927</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区域自然环境：爱民园、于山风景区等；人文环境：孝悌图书馆、福建大剧院；综合评价环境状况较好。</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5">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24">
      <c r="A80" s="1065" t="s">
        <v>1038</v>
      </c>
      <c r="B80" s="2404">
        <f>估价对象房地状况!G15</f>
        <v>0</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14.25">
      <c r="A81" s="1065" t="s">
        <v>1034</v>
      </c>
      <c r="B81" s="2404">
        <f>估价对象房地状况!G16</f>
        <v>0</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4.25">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f>估价对象房地状况!G19</f>
        <v>0</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f>估价对象房地状况!G20</f>
        <v>0</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24">
      <c r="A86" s="1065" t="s">
        <v>1026</v>
      </c>
      <c r="B86" s="3089" t="s">
        <v>2927</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15" thickBot="1">
      <c r="A87" s="2437" t="s">
        <v>1039</v>
      </c>
      <c r="B87" s="2406">
        <f>估价对象房地状况!G18</f>
        <v>0</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68" t="s">
        <v>1634</v>
      </c>
      <c r="B90" s="3468"/>
      <c r="C90" s="3468"/>
      <c r="D90" s="3468"/>
      <c r="E90" s="3468"/>
      <c r="F90" s="3468"/>
      <c r="G90" s="3468"/>
      <c r="H90" s="3468"/>
      <c r="I90" s="3468"/>
      <c r="J90" s="3468"/>
      <c r="K90" s="2446"/>
      <c r="L90" s="2446"/>
      <c r="M90" s="2446"/>
      <c r="N90" s="2446"/>
    </row>
    <row r="91" spans="1:40">
      <c r="A91" s="3469" t="s">
        <v>1444</v>
      </c>
      <c r="B91" s="3469" t="s">
        <v>1635</v>
      </c>
      <c r="C91" s="1138" t="s">
        <v>1636</v>
      </c>
      <c r="D91" s="1139"/>
      <c r="E91" s="1139"/>
      <c r="F91" s="1139"/>
      <c r="G91" s="1139"/>
      <c r="H91" s="1139"/>
      <c r="I91" s="1139"/>
      <c r="J91" s="1140"/>
      <c r="K91" s="1132"/>
      <c r="L91" s="1132"/>
      <c r="M91" s="1132"/>
      <c r="N91" s="1132"/>
    </row>
    <row r="92" spans="1:40">
      <c r="A92" s="3469"/>
      <c r="B92" s="3469"/>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58"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9"/>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8" t="s">
        <v>1638</v>
      </c>
      <c r="B101" s="1145" t="s">
        <v>906</v>
      </c>
      <c r="C101" s="1146">
        <f>$G$3</f>
        <v>2.2999999999999998</v>
      </c>
      <c r="D101" s="1146">
        <f t="shared" ref="D101:N101" si="31">$G$3</f>
        <v>2.2999999999999998</v>
      </c>
      <c r="E101" s="1146">
        <f t="shared" si="31"/>
        <v>2.2999999999999998</v>
      </c>
      <c r="F101" s="1146">
        <f t="shared" si="31"/>
        <v>2.2999999999999998</v>
      </c>
      <c r="G101" s="1146">
        <f t="shared" si="31"/>
        <v>2.2999999999999998</v>
      </c>
      <c r="H101" s="1146">
        <f t="shared" si="31"/>
        <v>2.2999999999999998</v>
      </c>
      <c r="I101" s="1146">
        <f t="shared" si="31"/>
        <v>2.2999999999999998</v>
      </c>
      <c r="J101" s="1146">
        <f t="shared" si="31"/>
        <v>2.2999999999999998</v>
      </c>
      <c r="K101" s="1146">
        <f t="shared" si="31"/>
        <v>2.2999999999999998</v>
      </c>
      <c r="L101" s="1146">
        <f t="shared" si="31"/>
        <v>2.2999999999999998</v>
      </c>
      <c r="M101" s="1146">
        <f t="shared" si="31"/>
        <v>2.2999999999999998</v>
      </c>
      <c r="N101" s="1146">
        <f t="shared" si="31"/>
        <v>2.2999999999999998</v>
      </c>
    </row>
    <row r="102" spans="1:14">
      <c r="A102" s="3459"/>
      <c r="B102" s="1141">
        <v>1</v>
      </c>
      <c r="C102" s="1142">
        <f>1.9362/C101</f>
        <v>0.84182608695652172</v>
      </c>
      <c r="D102" s="1142">
        <f>1.9362/D101</f>
        <v>0.84182608695652172</v>
      </c>
      <c r="E102" s="1142">
        <f>1.8629/E101</f>
        <v>0.80995652173913046</v>
      </c>
      <c r="F102" s="1142">
        <f>1.8629/F101</f>
        <v>0.80995652173913046</v>
      </c>
      <c r="G102" s="1142">
        <f>1.8629/G101</f>
        <v>0.80995652173913046</v>
      </c>
      <c r="H102" s="1142">
        <f>1.8629/H101</f>
        <v>0.80995652173913046</v>
      </c>
      <c r="I102" s="1142">
        <f>1.8629/I101</f>
        <v>0.80995652173913046</v>
      </c>
      <c r="J102" s="1142">
        <f>1.942/J101</f>
        <v>0.84434782608695658</v>
      </c>
      <c r="K102" s="1142">
        <f>1.942/K101</f>
        <v>0.84434782608695658</v>
      </c>
      <c r="L102" s="1142">
        <f>1.942/L101</f>
        <v>0.84434782608695658</v>
      </c>
      <c r="M102" s="1142">
        <f>1.942/M101</f>
        <v>0.84434782608695658</v>
      </c>
      <c r="N102" s="1142">
        <f>1.942/N101</f>
        <v>0.84434782608695658</v>
      </c>
    </row>
    <row r="103" spans="1:14">
      <c r="A103" s="3459"/>
      <c r="B103" s="1141">
        <v>2</v>
      </c>
      <c r="C103" s="1142">
        <f>1.4198/C101</f>
        <v>0.61730434782608701</v>
      </c>
      <c r="D103" s="1142">
        <f>1.4198/D101</f>
        <v>0.61730434782608701</v>
      </c>
      <c r="E103" s="1142">
        <f>1.3372/E101</f>
        <v>0.58139130434782615</v>
      </c>
      <c r="F103" s="1142">
        <f>1.3372/F101</f>
        <v>0.58139130434782615</v>
      </c>
      <c r="G103" s="1142">
        <f>1.3372/G101</f>
        <v>0.58139130434782615</v>
      </c>
      <c r="H103" s="1142">
        <f>1.3372/H101</f>
        <v>0.58139130434782615</v>
      </c>
      <c r="I103" s="1142">
        <f>1.3372/I101</f>
        <v>0.58139130434782615</v>
      </c>
      <c r="J103" s="1142">
        <f>1.2799/J101</f>
        <v>0.55647826086956531</v>
      </c>
      <c r="K103" s="1142">
        <f>1.2799/K101</f>
        <v>0.55647826086956531</v>
      </c>
      <c r="L103" s="1142">
        <f>1.2799/L101</f>
        <v>0.55647826086956531</v>
      </c>
      <c r="M103" s="1142">
        <f>1.2799/M101</f>
        <v>0.55647826086956531</v>
      </c>
      <c r="N103" s="1142">
        <f>1.2799/N101</f>
        <v>0.55647826086956531</v>
      </c>
    </row>
    <row r="104" spans="1:14">
      <c r="A104" s="3459"/>
      <c r="B104" s="1141">
        <v>3</v>
      </c>
      <c r="C104" s="1142">
        <f>1.1594/C101</f>
        <v>0.50408695652173918</v>
      </c>
      <c r="D104" s="1142">
        <f>1.1594/D101</f>
        <v>0.50408695652173918</v>
      </c>
      <c r="E104" s="1142">
        <f>1.0788/E101</f>
        <v>0.46904347826086962</v>
      </c>
      <c r="F104" s="1142">
        <f>1.0788/F101</f>
        <v>0.46904347826086962</v>
      </c>
      <c r="G104" s="1142">
        <f>1.0788/G101</f>
        <v>0.46904347826086962</v>
      </c>
      <c r="H104" s="1142">
        <f>1.0788/H101</f>
        <v>0.46904347826086962</v>
      </c>
      <c r="I104" s="1142">
        <f>1.0788/I101</f>
        <v>0.46904347826086962</v>
      </c>
      <c r="J104" s="1142">
        <f>1.0072/J101</f>
        <v>0.43791304347826093</v>
      </c>
      <c r="K104" s="1142">
        <f>1.0072/K101</f>
        <v>0.43791304347826093</v>
      </c>
      <c r="L104" s="1142">
        <f>1.0072/L101</f>
        <v>0.43791304347826093</v>
      </c>
      <c r="M104" s="1142">
        <f>1.0072/M101</f>
        <v>0.43791304347826093</v>
      </c>
      <c r="N104" s="1142">
        <f>1.0072/N101</f>
        <v>0.43791304347826093</v>
      </c>
    </row>
    <row r="105" spans="1:14">
      <c r="A105" s="3459"/>
      <c r="B105" s="1141">
        <v>4</v>
      </c>
      <c r="C105" s="1142">
        <f>0.9622/C101</f>
        <v>0.41834782608695659</v>
      </c>
      <c r="D105" s="1142">
        <f>0.9622/D101</f>
        <v>0.41834782608695659</v>
      </c>
      <c r="E105" s="1142">
        <f>0.8656/E101</f>
        <v>0.37634782608695655</v>
      </c>
      <c r="F105" s="1142">
        <f>0.8656/F101</f>
        <v>0.37634782608695655</v>
      </c>
      <c r="G105" s="1142">
        <f>0.8656/G101</f>
        <v>0.37634782608695655</v>
      </c>
      <c r="H105" s="1142">
        <f>0.8656/H101</f>
        <v>0.37634782608695655</v>
      </c>
      <c r="I105" s="1142">
        <f>0.8656/I101</f>
        <v>0.37634782608695655</v>
      </c>
      <c r="J105" s="1142">
        <f>0.7525/J101</f>
        <v>0.32717391304347826</v>
      </c>
      <c r="K105" s="1142">
        <f>0.7525/K101</f>
        <v>0.32717391304347826</v>
      </c>
      <c r="L105" s="1142">
        <f>0.7525/L101</f>
        <v>0.32717391304347826</v>
      </c>
      <c r="M105" s="1142">
        <f>0.7525/M101</f>
        <v>0.32717391304347826</v>
      </c>
      <c r="N105" s="1142">
        <f>0.7525/N101</f>
        <v>0.32717391304347826</v>
      </c>
    </row>
    <row r="106" spans="1:14">
      <c r="A106" s="3459"/>
      <c r="B106" s="1141">
        <v>5</v>
      </c>
      <c r="C106" s="1142">
        <f>0.8417/C101</f>
        <v>0.36595652173913046</v>
      </c>
      <c r="D106" s="1142">
        <f>0.8417/D101</f>
        <v>0.36595652173913046</v>
      </c>
      <c r="E106" s="1142">
        <f>0.7371/E101</f>
        <v>0.32047826086956521</v>
      </c>
      <c r="F106" s="1142">
        <f>0.7371/F101</f>
        <v>0.32047826086956521</v>
      </c>
      <c r="G106" s="1142">
        <f>0.7371/G101</f>
        <v>0.32047826086956521</v>
      </c>
      <c r="H106" s="1142">
        <f>0.7371/H101</f>
        <v>0.32047826086956521</v>
      </c>
      <c r="I106" s="1142">
        <f>0.7371/I101</f>
        <v>0.32047826086956521</v>
      </c>
      <c r="J106" s="1142">
        <f>0.5659/J101</f>
        <v>0.24604347826086956</v>
      </c>
      <c r="K106" s="1142">
        <f>0.5659/K101</f>
        <v>0.24604347826086956</v>
      </c>
      <c r="L106" s="1142">
        <f>0.5659/L101</f>
        <v>0.24604347826086956</v>
      </c>
      <c r="M106" s="1142">
        <f>0.5659/M101</f>
        <v>0.24604347826086956</v>
      </c>
      <c r="N106" s="1142">
        <f>0.5659/N101</f>
        <v>0.24604347826086956</v>
      </c>
    </row>
    <row r="107" spans="1:14">
      <c r="A107" s="3459"/>
      <c r="B107" s="1141">
        <v>6</v>
      </c>
      <c r="C107" s="1142">
        <f>0.7608/C101</f>
        <v>0.33078260869565224</v>
      </c>
      <c r="D107" s="1142">
        <f>0.7608/D101</f>
        <v>0.33078260869565224</v>
      </c>
      <c r="E107" s="1142">
        <f>0.6482/E101</f>
        <v>0.28182608695652178</v>
      </c>
      <c r="F107" s="1142">
        <f>0.6482/F101</f>
        <v>0.28182608695652178</v>
      </c>
      <c r="G107" s="1142">
        <f>0.6482/G101</f>
        <v>0.28182608695652178</v>
      </c>
      <c r="H107" s="1142">
        <f>0.6482/H101</f>
        <v>0.28182608695652178</v>
      </c>
      <c r="I107" s="1142">
        <f>0.6482/I101</f>
        <v>0.28182608695652178</v>
      </c>
      <c r="J107" s="1142">
        <f>0.4525/J101</f>
        <v>0.19673913043478264</v>
      </c>
      <c r="K107" s="1142">
        <f>0.4525/K101</f>
        <v>0.19673913043478264</v>
      </c>
      <c r="L107" s="1142">
        <f>0.4525/L101</f>
        <v>0.19673913043478264</v>
      </c>
      <c r="M107" s="1142">
        <f>0.4525/M101</f>
        <v>0.19673913043478264</v>
      </c>
      <c r="N107" s="1142">
        <f>0.4525/N101</f>
        <v>0.19673913043478264</v>
      </c>
    </row>
    <row r="108" spans="1:14">
      <c r="A108" s="3459"/>
      <c r="B108" s="3461"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0"/>
      <c r="B109" s="3462"/>
      <c r="C109" s="1144">
        <f>(-0.163*(C108^2)-0.59*C108+7617)*(10^(-4))/C101</f>
        <v>0.33051513043478264</v>
      </c>
      <c r="D109" s="1144">
        <f>(-0.163*(D108^2)-0.59*D108+7617)*(10^(-4))/D101</f>
        <v>0.33051513043478264</v>
      </c>
      <c r="E109" s="1144">
        <f>(-0.161*(E108^2)-7.509*E108+6533)*(10^(-4))/E101</f>
        <v>0.28098365217391308</v>
      </c>
      <c r="F109" s="1144">
        <f>(-0.161*(F108^2)-7.509*F108+6533)*(10^(-4))/F101</f>
        <v>0.28098365217391308</v>
      </c>
      <c r="G109" s="1144">
        <f>(-0.161*(G108^2)-7.509*G108+6533)*(10^(-4))/G101</f>
        <v>0.28098365217391308</v>
      </c>
      <c r="H109" s="1144">
        <f>(-0.161*(H108^2)-7.509*H108+6533)*(10^(-4))/H101</f>
        <v>0.28098365217391308</v>
      </c>
      <c r="I109" s="1144">
        <f>(-0.161*(I108^2)-7.509*I108+6533)*(10^(-4))/I101</f>
        <v>0.28098365217391308</v>
      </c>
      <c r="J109" s="1144">
        <f>(-0.214*(J108^2)-21.991*J108+4665)*(10^(-4))/J101</f>
        <v>0.19458156521739134</v>
      </c>
      <c r="K109" s="1144">
        <f>(-0.214*(K108^2)-21.991*K108+4665)*(10^(-4))/K101</f>
        <v>0.19458156521739134</v>
      </c>
      <c r="L109" s="1144">
        <f>(-0.214*(L108^2)-21.991*L108+4665)*(10^(-4))/L101</f>
        <v>0.19458156521739134</v>
      </c>
      <c r="M109" s="1144">
        <f>(-0.214*(M108^2)-21.991*M108+4665)*(10^(-4))/M101</f>
        <v>0.19458156521739134</v>
      </c>
      <c r="N109" s="1144">
        <f>(-0.214*(N108^2)-21.991*N108+4665)*(10^(-4))/N101</f>
        <v>0.19458156521739134</v>
      </c>
    </row>
    <row r="110" spans="1:14">
      <c r="A110" s="3463" t="s">
        <v>1640</v>
      </c>
      <c r="B110" s="3463"/>
      <c r="C110" s="3463"/>
      <c r="D110" s="3463"/>
      <c r="E110" s="3463"/>
      <c r="F110" s="3463"/>
      <c r="G110" s="3463"/>
      <c r="H110" s="3463"/>
      <c r="I110" s="3463"/>
      <c r="J110" s="3463"/>
      <c r="K110" s="2444"/>
      <c r="L110" s="2444"/>
      <c r="M110" s="2444"/>
      <c r="N110" s="2444"/>
    </row>
    <row r="112" spans="1:14" ht="12.75" thickBot="1"/>
    <row r="113" spans="1:13" ht="25.5" thickBot="1">
      <c r="A113" s="1014" t="s">
        <v>896</v>
      </c>
      <c r="B113" s="2447">
        <f>G3</f>
        <v>2.2999999999999998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0.91190000000000004</v>
      </c>
      <c r="C115" s="1028">
        <f>B115</f>
        <v>0.91190000000000004</v>
      </c>
      <c r="D115" s="1028">
        <f>ROUND(0.8331-0.0109*B113,4)</f>
        <v>0.80800000000000005</v>
      </c>
      <c r="E115" s="1028">
        <f>D115</f>
        <v>0.80800000000000005</v>
      </c>
      <c r="F115" s="1028">
        <f>E115</f>
        <v>0.80800000000000005</v>
      </c>
      <c r="G115" s="1028">
        <f>F115</f>
        <v>0.80800000000000005</v>
      </c>
      <c r="H115" s="1028">
        <f>G115</f>
        <v>0.80800000000000005</v>
      </c>
      <c r="I115" s="1028">
        <f>ROUND(0.689-0.0155*B113,4)</f>
        <v>0.65339999999999998</v>
      </c>
      <c r="J115" s="1028">
        <f t="shared" ref="J115:M118" si="33">I115</f>
        <v>0.65339999999999998</v>
      </c>
      <c r="K115" s="1028">
        <f t="shared" si="33"/>
        <v>0.65339999999999998</v>
      </c>
      <c r="L115" s="1028">
        <f t="shared" si="33"/>
        <v>0.65339999999999998</v>
      </c>
      <c r="M115" s="1029">
        <f t="shared" si="33"/>
        <v>0.65339999999999998</v>
      </c>
    </row>
    <row r="116" spans="1:13" ht="12.75">
      <c r="A116" s="1027" t="s">
        <v>901</v>
      </c>
      <c r="B116" s="1028">
        <f>ROUND(0.949-0.012*B113,4)</f>
        <v>0.9214</v>
      </c>
      <c r="C116" s="1028">
        <f>B116</f>
        <v>0.9214</v>
      </c>
      <c r="D116" s="1028">
        <f>ROUND(0.8567-0.013*B113,4)</f>
        <v>0.82679999999999998</v>
      </c>
      <c r="E116" s="1028">
        <f t="shared" ref="E116:H117" si="34">D116</f>
        <v>0.82679999999999998</v>
      </c>
      <c r="F116" s="1028">
        <f t="shared" si="34"/>
        <v>0.82679999999999998</v>
      </c>
      <c r="G116" s="1028">
        <f t="shared" si="34"/>
        <v>0.82679999999999998</v>
      </c>
      <c r="H116" s="1028">
        <f t="shared" si="34"/>
        <v>0.82679999999999998</v>
      </c>
      <c r="I116" s="1028">
        <f>ROUND(0.7694-0.014*B113,4)</f>
        <v>0.73719999999999997</v>
      </c>
      <c r="J116" s="1028">
        <f t="shared" si="33"/>
        <v>0.73719999999999997</v>
      </c>
      <c r="K116" s="1028">
        <f t="shared" si="33"/>
        <v>0.73719999999999997</v>
      </c>
      <c r="L116" s="1028">
        <f t="shared" si="33"/>
        <v>0.73719999999999997</v>
      </c>
      <c r="M116" s="1029">
        <f t="shared" si="33"/>
        <v>0.73719999999999997</v>
      </c>
    </row>
    <row r="117" spans="1:13" ht="12.75">
      <c r="A117" s="1030" t="s">
        <v>902</v>
      </c>
      <c r="B117" s="1028">
        <f>ROUND(0.8808-0.006*B113,4)</f>
        <v>0.86699999999999999</v>
      </c>
      <c r="C117" s="1028">
        <f>B117</f>
        <v>0.86699999999999999</v>
      </c>
      <c r="D117" s="1028">
        <f>ROUND(0.8748-0.008*B113,4)</f>
        <v>0.85640000000000005</v>
      </c>
      <c r="E117" s="1028">
        <f t="shared" si="34"/>
        <v>0.85640000000000005</v>
      </c>
      <c r="F117" s="1028">
        <f t="shared" si="34"/>
        <v>0.85640000000000005</v>
      </c>
      <c r="G117" s="1028">
        <f t="shared" si="34"/>
        <v>0.85640000000000005</v>
      </c>
      <c r="H117" s="1028">
        <f t="shared" si="34"/>
        <v>0.85640000000000005</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5" thickBot="1">
      <c r="A118" s="1031" t="s">
        <v>903</v>
      </c>
      <c r="B118" s="1032">
        <f>ROUND(0.7275-0.01*B113,4)</f>
        <v>0.70450000000000002</v>
      </c>
      <c r="C118" s="1032">
        <f>B118</f>
        <v>0.70450000000000002</v>
      </c>
      <c r="D118" s="1032">
        <f>ROUND(0.7043-0.012*B113,4)</f>
        <v>0.67669999999999997</v>
      </c>
      <c r="E118" s="1032">
        <f>D118</f>
        <v>0.67669999999999997</v>
      </c>
      <c r="F118" s="1032">
        <f>E118</f>
        <v>0.67669999999999997</v>
      </c>
      <c r="G118" s="1032">
        <f>ROUND(0.6299-0.0122*B113,4)</f>
        <v>0.6018</v>
      </c>
      <c r="H118" s="1032">
        <f>G118</f>
        <v>0.6018</v>
      </c>
      <c r="I118" s="1032">
        <f>ROUND(0.5667-0.0136*B113,4)</f>
        <v>0.53539999999999999</v>
      </c>
      <c r="J118" s="1032">
        <f t="shared" si="33"/>
        <v>0.53539999999999999</v>
      </c>
      <c r="K118" s="1032">
        <f t="shared" si="33"/>
        <v>0.53539999999999999</v>
      </c>
      <c r="L118" s="1032">
        <f t="shared" si="33"/>
        <v>0.53539999999999999</v>
      </c>
      <c r="M118" s="1033">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69" t="s">
        <v>1008</v>
      </c>
      <c r="B18" s="1152" t="s">
        <v>1447</v>
      </c>
      <c r="C18" s="1129" t="s">
        <v>1448</v>
      </c>
      <c r="D18" s="1130"/>
      <c r="E18" s="1152">
        <v>1</v>
      </c>
      <c r="F18" s="1131" t="s">
        <v>1449</v>
      </c>
      <c r="G18" s="1132"/>
      <c r="H18" s="1103"/>
      <c r="I18" s="1103"/>
    </row>
    <row r="19" spans="1:9" s="1596" customFormat="1" ht="19.5" customHeight="1">
      <c r="A19" s="3469"/>
      <c r="B19" s="3469" t="s">
        <v>1450</v>
      </c>
      <c r="C19" s="1129" t="s">
        <v>1451</v>
      </c>
      <c r="D19" s="1130"/>
      <c r="E19" s="1152">
        <v>0.9</v>
      </c>
      <c r="F19" s="1131" t="s">
        <v>1452</v>
      </c>
      <c r="G19" s="1132"/>
      <c r="H19" s="1103"/>
      <c r="I19" s="1103"/>
    </row>
    <row r="20" spans="1:9" s="1596" customFormat="1" ht="19.5" customHeight="1">
      <c r="A20" s="3469"/>
      <c r="B20" s="3469"/>
      <c r="C20" s="1129" t="s">
        <v>1453</v>
      </c>
      <c r="D20" s="1130"/>
      <c r="E20" s="1152">
        <v>1.1000000000000001</v>
      </c>
      <c r="F20" s="1131" t="s">
        <v>1454</v>
      </c>
      <c r="G20" s="1132"/>
      <c r="H20" s="1103"/>
      <c r="I20" s="1103"/>
    </row>
    <row r="21" spans="1:9" s="1596" customFormat="1" ht="19.5" customHeight="1">
      <c r="A21" s="3469"/>
      <c r="B21" s="3469"/>
      <c r="C21" s="1129" t="s">
        <v>1455</v>
      </c>
      <c r="D21" s="1130"/>
      <c r="E21" s="1152">
        <v>0.8</v>
      </c>
      <c r="F21" s="1131" t="s">
        <v>1456</v>
      </c>
      <c r="G21" s="1132"/>
      <c r="H21" s="1103"/>
      <c r="I21" s="1103"/>
    </row>
    <row r="22" spans="1:9" s="1596" customFormat="1" ht="19.5" customHeight="1">
      <c r="A22" s="3469"/>
      <c r="B22" s="3469"/>
      <c r="C22" s="1129" t="s">
        <v>1457</v>
      </c>
      <c r="D22" s="1130"/>
      <c r="E22" s="1152">
        <v>0.5</v>
      </c>
      <c r="F22" s="1131"/>
      <c r="G22" s="1132"/>
      <c r="H22" s="1103"/>
      <c r="I22" s="1103"/>
    </row>
    <row r="23" spans="1:9" s="1596" customFormat="1" ht="19.5" customHeight="1">
      <c r="A23" s="3469" t="s">
        <v>1030</v>
      </c>
      <c r="B23" s="1152" t="s">
        <v>1447</v>
      </c>
      <c r="C23" s="1129" t="s">
        <v>1458</v>
      </c>
      <c r="D23" s="1130"/>
      <c r="E23" s="1152">
        <v>1</v>
      </c>
      <c r="F23" s="1131" t="s">
        <v>1459</v>
      </c>
      <c r="G23" s="1132"/>
      <c r="H23" s="1103"/>
      <c r="I23" s="1103"/>
    </row>
    <row r="24" spans="1:9" s="1596" customFormat="1" ht="19.5" customHeight="1">
      <c r="A24" s="3469"/>
      <c r="B24" s="3469" t="s">
        <v>1450</v>
      </c>
      <c r="C24" s="1129" t="s">
        <v>1460</v>
      </c>
      <c r="D24" s="1130"/>
      <c r="E24" s="1152">
        <v>0.5</v>
      </c>
      <c r="F24" s="1131"/>
      <c r="G24" s="1132"/>
      <c r="H24" s="1103"/>
      <c r="I24" s="1103"/>
    </row>
    <row r="25" spans="1:9" s="1596" customFormat="1" ht="19.5" customHeight="1">
      <c r="A25" s="3469"/>
      <c r="B25" s="3469"/>
      <c r="C25" s="1129" t="s">
        <v>1461</v>
      </c>
      <c r="D25" s="1130"/>
      <c r="E25" s="1152">
        <v>1.1000000000000001</v>
      </c>
      <c r="F25" s="1131"/>
      <c r="G25" s="1132"/>
      <c r="H25" s="1103"/>
      <c r="I25" s="1103"/>
    </row>
    <row r="26" spans="1:9" s="1596" customFormat="1" ht="19.5" customHeight="1">
      <c r="A26" s="3469"/>
      <c r="B26" s="3469"/>
      <c r="C26" s="1129" t="s">
        <v>1462</v>
      </c>
      <c r="D26" s="1130"/>
      <c r="E26" s="1152">
        <v>1.1000000000000001</v>
      </c>
      <c r="F26" s="1131"/>
      <c r="G26" s="1132"/>
      <c r="H26" s="1103"/>
      <c r="I26" s="1103"/>
    </row>
    <row r="27" spans="1:9" s="1596" customFormat="1" ht="19.5" customHeight="1">
      <c r="A27" s="3469"/>
      <c r="B27" s="3469"/>
      <c r="C27" s="1129" t="s">
        <v>1463</v>
      </c>
      <c r="D27" s="1130"/>
      <c r="E27" s="1152">
        <v>0.9</v>
      </c>
      <c r="F27" s="1131" t="s">
        <v>1464</v>
      </c>
      <c r="G27" s="1132"/>
      <c r="H27" s="1103"/>
      <c r="I27" s="1103"/>
    </row>
    <row r="28" spans="1:9" s="1596" customFormat="1" ht="19.5" customHeight="1">
      <c r="A28" s="3469"/>
      <c r="B28" s="3469"/>
      <c r="C28" s="1129" t="s">
        <v>1465</v>
      </c>
      <c r="D28" s="1130"/>
      <c r="E28" s="1152">
        <v>0.9</v>
      </c>
      <c r="F28" s="1131" t="s">
        <v>1466</v>
      </c>
      <c r="G28" s="1132"/>
      <c r="H28" s="1103"/>
      <c r="I28" s="1103"/>
    </row>
    <row r="29" spans="1:9" s="1596" customFormat="1" ht="19.5" customHeight="1">
      <c r="A29" s="3469"/>
      <c r="B29" s="3469"/>
      <c r="C29" s="1129" t="s">
        <v>1467</v>
      </c>
      <c r="D29" s="1130"/>
      <c r="E29" s="1152">
        <v>0.9</v>
      </c>
      <c r="F29" s="1131" t="s">
        <v>1468</v>
      </c>
      <c r="G29" s="1132"/>
      <c r="H29" s="1103"/>
      <c r="I29" s="1103"/>
    </row>
    <row r="30" spans="1:9" s="1596" customFormat="1" ht="19.5" customHeight="1">
      <c r="A30" s="3469"/>
      <c r="B30" s="3469"/>
      <c r="C30" s="1129" t="s">
        <v>1469</v>
      </c>
      <c r="D30" s="1130"/>
      <c r="E30" s="1152">
        <v>0.9</v>
      </c>
      <c r="F30" s="1131" t="s">
        <v>1470</v>
      </c>
      <c r="G30" s="1132"/>
      <c r="H30" s="1103"/>
      <c r="I30" s="1103"/>
    </row>
    <row r="31" spans="1:9" s="1596" customFormat="1" ht="19.5" customHeight="1">
      <c r="A31" s="3469"/>
      <c r="B31" s="3469"/>
      <c r="C31" s="1129" t="s">
        <v>1471</v>
      </c>
      <c r="D31" s="1130"/>
      <c r="E31" s="1152">
        <v>0.8</v>
      </c>
      <c r="F31" s="1131" t="s">
        <v>1472</v>
      </c>
      <c r="G31" s="1132"/>
      <c r="H31" s="1103"/>
      <c r="I31" s="1103"/>
    </row>
    <row r="32" spans="1:9" s="1596" customFormat="1" ht="19.5" customHeight="1">
      <c r="A32" s="3469"/>
      <c r="B32" s="3469"/>
      <c r="C32" s="1129" t="s">
        <v>1473</v>
      </c>
      <c r="D32" s="1130"/>
      <c r="E32" s="1152">
        <v>0.8</v>
      </c>
      <c r="F32" s="1131" t="s">
        <v>1474</v>
      </c>
      <c r="G32" s="1132"/>
      <c r="H32" s="1103"/>
      <c r="I32" s="1103"/>
    </row>
    <row r="33" spans="1:9" s="1596" customFormat="1" ht="19.5" customHeight="1">
      <c r="A33" s="3469" t="s">
        <v>1475</v>
      </c>
      <c r="B33" s="1152" t="s">
        <v>1447</v>
      </c>
      <c r="C33" s="1129" t="s">
        <v>1476</v>
      </c>
      <c r="D33" s="1130"/>
      <c r="E33" s="1152">
        <v>1</v>
      </c>
      <c r="F33" s="1131" t="s">
        <v>1477</v>
      </c>
      <c r="G33" s="1132"/>
      <c r="H33" s="1103"/>
      <c r="I33" s="1103"/>
    </row>
    <row r="34" spans="1:9" s="1596" customFormat="1" ht="19.5" customHeight="1">
      <c r="A34" s="3469"/>
      <c r="B34" s="1152" t="s">
        <v>1450</v>
      </c>
      <c r="C34" s="1129" t="s">
        <v>1478</v>
      </c>
      <c r="D34" s="1130"/>
      <c r="E34" s="1152">
        <v>1.5</v>
      </c>
      <c r="F34" s="1131" t="s">
        <v>1479</v>
      </c>
      <c r="G34" s="1132"/>
      <c r="H34" s="1103"/>
      <c r="I34" s="1103"/>
    </row>
    <row r="35" spans="1:9" s="1596" customFormat="1" ht="19.5" customHeight="1">
      <c r="A35" s="3469" t="s">
        <v>1433</v>
      </c>
      <c r="B35" s="1152" t="s">
        <v>1447</v>
      </c>
      <c r="C35" s="1129" t="s">
        <v>1480</v>
      </c>
      <c r="D35" s="1130"/>
      <c r="E35" s="1152">
        <v>1</v>
      </c>
      <c r="F35" s="1131" t="s">
        <v>1481</v>
      </c>
      <c r="G35" s="1132"/>
      <c r="H35" s="1103"/>
      <c r="I35" s="1103"/>
    </row>
    <row r="36" spans="1:9" s="1596" customFormat="1" ht="19.5" customHeight="1">
      <c r="A36" s="3469"/>
      <c r="B36" s="3469" t="s">
        <v>1450</v>
      </c>
      <c r="C36" s="1129" t="s">
        <v>1482</v>
      </c>
      <c r="D36" s="1130"/>
      <c r="E36" s="1152">
        <v>1</v>
      </c>
      <c r="F36" s="1131" t="s">
        <v>1483</v>
      </c>
      <c r="G36" s="1132"/>
      <c r="H36" s="1103"/>
      <c r="I36" s="1103"/>
    </row>
    <row r="37" spans="1:9" s="1596" customFormat="1" ht="19.5" customHeight="1">
      <c r="A37" s="3469"/>
      <c r="B37" s="3469"/>
      <c r="C37" s="1129" t="s">
        <v>1484</v>
      </c>
      <c r="D37" s="1130"/>
      <c r="E37" s="1152">
        <v>1.5</v>
      </c>
      <c r="F37" s="1131" t="s">
        <v>1485</v>
      </c>
      <c r="G37" s="1132"/>
      <c r="H37" s="1103"/>
      <c r="I37" s="1103"/>
    </row>
    <row r="38" spans="1:9" s="1596" customFormat="1" ht="19.5" customHeight="1">
      <c r="A38" s="3469"/>
      <c r="B38" s="3469"/>
      <c r="C38" s="1129" t="s">
        <v>1486</v>
      </c>
      <c r="D38" s="1130"/>
      <c r="E38" s="1152">
        <v>1</v>
      </c>
      <c r="F38" s="1131" t="s">
        <v>1487</v>
      </c>
      <c r="G38" s="1132"/>
      <c r="H38" s="1103"/>
      <c r="I38" s="1103"/>
    </row>
    <row r="39" spans="1:9" s="1596" customFormat="1" ht="19.5" customHeight="1">
      <c r="A39" s="3469"/>
      <c r="B39" s="3469"/>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69" t="s">
        <v>1502</v>
      </c>
      <c r="C61" s="1066" t="s">
        <v>1503</v>
      </c>
      <c r="D61" s="1066" t="s">
        <v>1504</v>
      </c>
      <c r="E61" s="1137">
        <v>0.5</v>
      </c>
      <c r="F61" s="1152">
        <v>80</v>
      </c>
      <c r="H61" s="1103">
        <f>SUMIF(C59:C119,基准地价!C8,E59:E119)</f>
        <v>0</v>
      </c>
    </row>
    <row r="62" spans="1:8" s="1103" customFormat="1" ht="24">
      <c r="A62" s="1152">
        <v>2</v>
      </c>
      <c r="B62" s="3469"/>
      <c r="C62" s="1066" t="s">
        <v>1505</v>
      </c>
      <c r="D62" s="1066" t="s">
        <v>1506</v>
      </c>
      <c r="E62" s="1137">
        <v>0.5</v>
      </c>
      <c r="F62" s="1152">
        <v>80</v>
      </c>
    </row>
    <row r="63" spans="1:8" s="1103" customFormat="1" ht="36">
      <c r="A63" s="1152">
        <v>3</v>
      </c>
      <c r="B63" s="3469"/>
      <c r="C63" s="1066" t="s">
        <v>1507</v>
      </c>
      <c r="D63" s="1066" t="s">
        <v>1508</v>
      </c>
      <c r="E63" s="1137">
        <v>0.5</v>
      </c>
      <c r="F63" s="1152">
        <v>80</v>
      </c>
    </row>
    <row r="64" spans="1:8" s="1103" customFormat="1" ht="36">
      <c r="A64" s="1152">
        <v>4</v>
      </c>
      <c r="B64" s="3469"/>
      <c r="C64" s="1066" t="s">
        <v>1509</v>
      </c>
      <c r="D64" s="1066" t="s">
        <v>1510</v>
      </c>
      <c r="E64" s="1137">
        <v>0.4</v>
      </c>
      <c r="F64" s="1152">
        <v>60</v>
      </c>
    </row>
    <row r="65" spans="1:6" s="1103" customFormat="1" ht="36">
      <c r="A65" s="1152">
        <v>5</v>
      </c>
      <c r="B65" s="3469"/>
      <c r="C65" s="1066" t="s">
        <v>1511</v>
      </c>
      <c r="D65" s="1066" t="s">
        <v>1512</v>
      </c>
      <c r="E65" s="1137">
        <v>0.2</v>
      </c>
      <c r="F65" s="1152">
        <v>30</v>
      </c>
    </row>
    <row r="66" spans="1:6" s="1103" customFormat="1" ht="36">
      <c r="A66" s="1152">
        <v>6</v>
      </c>
      <c r="B66" s="3469"/>
      <c r="C66" s="1066" t="s">
        <v>1513</v>
      </c>
      <c r="D66" s="1066" t="s">
        <v>1514</v>
      </c>
      <c r="E66" s="1137">
        <v>0.3</v>
      </c>
      <c r="F66" s="1152">
        <v>50</v>
      </c>
    </row>
    <row r="67" spans="1:6" s="1103" customFormat="1" ht="36">
      <c r="A67" s="1152">
        <v>7</v>
      </c>
      <c r="B67" s="3469"/>
      <c r="C67" s="1066" t="s">
        <v>1515</v>
      </c>
      <c r="D67" s="1066" t="s">
        <v>1516</v>
      </c>
      <c r="E67" s="1137">
        <v>0.2</v>
      </c>
      <c r="F67" s="1152">
        <v>30</v>
      </c>
    </row>
    <row r="68" spans="1:6" s="1103" customFormat="1" ht="36">
      <c r="A68" s="1152">
        <v>8</v>
      </c>
      <c r="B68" s="3469"/>
      <c r="C68" s="1066" t="s">
        <v>1517</v>
      </c>
      <c r="D68" s="1066" t="s">
        <v>1518</v>
      </c>
      <c r="E68" s="1137">
        <v>0.2</v>
      </c>
      <c r="F68" s="1152">
        <v>30</v>
      </c>
    </row>
    <row r="69" spans="1:6" s="1103" customFormat="1" ht="36">
      <c r="A69" s="1152">
        <v>9</v>
      </c>
      <c r="B69" s="3469"/>
      <c r="C69" s="1066" t="s">
        <v>1519</v>
      </c>
      <c r="D69" s="1066" t="s">
        <v>1520</v>
      </c>
      <c r="E69" s="1137">
        <v>0.2</v>
      </c>
      <c r="F69" s="1152">
        <v>30</v>
      </c>
    </row>
    <row r="70" spans="1:6" s="1103" customFormat="1" ht="48">
      <c r="A70" s="1152">
        <v>10</v>
      </c>
      <c r="B70" s="3469"/>
      <c r="C70" s="1066" t="s">
        <v>1521</v>
      </c>
      <c r="D70" s="1066" t="s">
        <v>1522</v>
      </c>
      <c r="E70" s="1137">
        <v>0.2</v>
      </c>
      <c r="F70" s="1152">
        <v>30</v>
      </c>
    </row>
    <row r="71" spans="1:6" s="1103" customFormat="1" ht="48">
      <c r="A71" s="1152">
        <v>11</v>
      </c>
      <c r="B71" s="3469"/>
      <c r="C71" s="1066" t="s">
        <v>1523</v>
      </c>
      <c r="D71" s="1066" t="s">
        <v>1524</v>
      </c>
      <c r="E71" s="1137">
        <v>0.2</v>
      </c>
      <c r="F71" s="1152">
        <v>30</v>
      </c>
    </row>
    <row r="72" spans="1:6" s="1103" customFormat="1" ht="36">
      <c r="A72" s="1152">
        <v>12</v>
      </c>
      <c r="B72" s="3469"/>
      <c r="C72" s="1066" t="s">
        <v>1525</v>
      </c>
      <c r="D72" s="1066" t="s">
        <v>1526</v>
      </c>
      <c r="E72" s="1137">
        <v>0.5</v>
      </c>
      <c r="F72" s="1152">
        <v>80</v>
      </c>
    </row>
    <row r="73" spans="1:6" s="1103" customFormat="1" ht="24">
      <c r="A73" s="1152">
        <v>13</v>
      </c>
      <c r="B73" s="3469"/>
      <c r="C73" s="1066" t="s">
        <v>1527</v>
      </c>
      <c r="D73" s="1066" t="s">
        <v>1528</v>
      </c>
      <c r="E73" s="1137">
        <v>0.4</v>
      </c>
      <c r="F73" s="1152">
        <v>60</v>
      </c>
    </row>
    <row r="74" spans="1:6" s="1103" customFormat="1" ht="24">
      <c r="A74" s="1152">
        <v>14</v>
      </c>
      <c r="B74" s="3469"/>
      <c r="C74" s="1066" t="s">
        <v>1529</v>
      </c>
      <c r="D74" s="1066" t="s">
        <v>1530</v>
      </c>
      <c r="E74" s="1137">
        <v>0.2</v>
      </c>
      <c r="F74" s="1152">
        <v>30</v>
      </c>
    </row>
    <row r="75" spans="1:6" s="1103" customFormat="1" ht="24">
      <c r="A75" s="1152">
        <v>15</v>
      </c>
      <c r="B75" s="3469"/>
      <c r="C75" s="1066" t="s">
        <v>1531</v>
      </c>
      <c r="D75" s="1066" t="s">
        <v>1532</v>
      </c>
      <c r="E75" s="1137">
        <v>0.2</v>
      </c>
      <c r="F75" s="1152">
        <v>30</v>
      </c>
    </row>
    <row r="76" spans="1:6" s="1103" customFormat="1" ht="24">
      <c r="A76" s="1152">
        <v>16</v>
      </c>
      <c r="B76" s="3469" t="s">
        <v>1533</v>
      </c>
      <c r="C76" s="1066" t="s">
        <v>1534</v>
      </c>
      <c r="D76" s="1066" t="s">
        <v>1535</v>
      </c>
      <c r="E76" s="1137">
        <v>0.5</v>
      </c>
      <c r="F76" s="1152">
        <v>80</v>
      </c>
    </row>
    <row r="77" spans="1:6" s="1103" customFormat="1" ht="24">
      <c r="A77" s="1152">
        <v>17</v>
      </c>
      <c r="B77" s="3469"/>
      <c r="C77" s="1066" t="s">
        <v>1536</v>
      </c>
      <c r="D77" s="1066" t="s">
        <v>1537</v>
      </c>
      <c r="E77" s="1137">
        <v>0.5</v>
      </c>
      <c r="F77" s="1152">
        <v>80</v>
      </c>
    </row>
    <row r="78" spans="1:6" s="1103" customFormat="1" ht="24">
      <c r="A78" s="1152">
        <v>18</v>
      </c>
      <c r="B78" s="3469"/>
      <c r="C78" s="1066" t="s">
        <v>1538</v>
      </c>
      <c r="D78" s="1066" t="s">
        <v>1539</v>
      </c>
      <c r="E78" s="1137">
        <v>0.2</v>
      </c>
      <c r="F78" s="1152">
        <v>30</v>
      </c>
    </row>
    <row r="79" spans="1:6" s="1103" customFormat="1" ht="24">
      <c r="A79" s="1152">
        <v>19</v>
      </c>
      <c r="B79" s="3469"/>
      <c r="C79" s="1066" t="s">
        <v>1540</v>
      </c>
      <c r="D79" s="1066" t="s">
        <v>1541</v>
      </c>
      <c r="E79" s="1137">
        <v>0.5</v>
      </c>
      <c r="F79" s="1152">
        <v>80</v>
      </c>
    </row>
    <row r="80" spans="1:6" s="1103" customFormat="1" ht="36">
      <c r="A80" s="1152">
        <v>20</v>
      </c>
      <c r="B80" s="3469"/>
      <c r="C80" s="1066" t="s">
        <v>1542</v>
      </c>
      <c r="D80" s="1066" t="s">
        <v>1543</v>
      </c>
      <c r="E80" s="1137">
        <v>0.2</v>
      </c>
      <c r="F80" s="1152">
        <v>30</v>
      </c>
    </row>
    <row r="81" spans="1:6" s="1103" customFormat="1" ht="36">
      <c r="A81" s="1152">
        <v>21</v>
      </c>
      <c r="B81" s="3469"/>
      <c r="C81" s="1066" t="s">
        <v>1544</v>
      </c>
      <c r="D81" s="1066" t="s">
        <v>1545</v>
      </c>
      <c r="E81" s="1137">
        <v>0.2</v>
      </c>
      <c r="F81" s="1152">
        <v>30</v>
      </c>
    </row>
    <row r="82" spans="1:6" s="1103" customFormat="1" ht="48">
      <c r="A82" s="1152">
        <v>22</v>
      </c>
      <c r="B82" s="3469"/>
      <c r="C82" s="1066" t="s">
        <v>1546</v>
      </c>
      <c r="D82" s="1066" t="s">
        <v>1547</v>
      </c>
      <c r="E82" s="1137">
        <v>0.2</v>
      </c>
      <c r="F82" s="1152">
        <v>30</v>
      </c>
    </row>
    <row r="83" spans="1:6" s="1103" customFormat="1" ht="48">
      <c r="A83" s="1152">
        <v>23</v>
      </c>
      <c r="B83" s="3469"/>
      <c r="C83" s="1066" t="s">
        <v>1548</v>
      </c>
      <c r="D83" s="1066" t="s">
        <v>1549</v>
      </c>
      <c r="E83" s="1137">
        <v>0.2</v>
      </c>
      <c r="F83" s="1152">
        <v>30</v>
      </c>
    </row>
    <row r="84" spans="1:6" s="1103" customFormat="1" ht="36">
      <c r="A84" s="1152">
        <v>24</v>
      </c>
      <c r="B84" s="3469"/>
      <c r="C84" s="1066" t="s">
        <v>1550</v>
      </c>
      <c r="D84" s="1066" t="s">
        <v>1551</v>
      </c>
      <c r="E84" s="1137">
        <v>0.2</v>
      </c>
      <c r="F84" s="1152">
        <v>30</v>
      </c>
    </row>
    <row r="85" spans="1:6" s="1103" customFormat="1" ht="36">
      <c r="A85" s="1152">
        <v>25</v>
      </c>
      <c r="B85" s="3469"/>
      <c r="C85" s="1066" t="s">
        <v>1552</v>
      </c>
      <c r="D85" s="1066" t="s">
        <v>1553</v>
      </c>
      <c r="E85" s="1137">
        <v>0.5</v>
      </c>
      <c r="F85" s="1152">
        <v>80</v>
      </c>
    </row>
    <row r="86" spans="1:6" s="1103" customFormat="1" ht="36">
      <c r="A86" s="1152">
        <v>26</v>
      </c>
      <c r="B86" s="3469"/>
      <c r="C86" s="1066" t="s">
        <v>1554</v>
      </c>
      <c r="D86" s="1066" t="s">
        <v>1555</v>
      </c>
      <c r="E86" s="1137">
        <v>0.2</v>
      </c>
      <c r="F86" s="1152">
        <v>30</v>
      </c>
    </row>
    <row r="87" spans="1:6" s="1103" customFormat="1" ht="36">
      <c r="A87" s="1152">
        <v>27</v>
      </c>
      <c r="B87" s="3469"/>
      <c r="C87" s="1066" t="s">
        <v>1556</v>
      </c>
      <c r="D87" s="1066" t="s">
        <v>1557</v>
      </c>
      <c r="E87" s="1137">
        <v>0.2</v>
      </c>
      <c r="F87" s="1152">
        <v>30</v>
      </c>
    </row>
    <row r="88" spans="1:6" s="1103" customFormat="1" ht="36">
      <c r="A88" s="1152">
        <v>28</v>
      </c>
      <c r="B88" s="3469"/>
      <c r="C88" s="1066" t="s">
        <v>1558</v>
      </c>
      <c r="D88" s="1066" t="s">
        <v>1559</v>
      </c>
      <c r="E88" s="1137">
        <v>0.2</v>
      </c>
      <c r="F88" s="1152">
        <v>30</v>
      </c>
    </row>
    <row r="89" spans="1:6" s="1103" customFormat="1" ht="24">
      <c r="A89" s="1152">
        <v>29</v>
      </c>
      <c r="B89" s="3469"/>
      <c r="C89" s="1066" t="s">
        <v>1560</v>
      </c>
      <c r="D89" s="1066" t="s">
        <v>1561</v>
      </c>
      <c r="E89" s="1137">
        <v>0.2</v>
      </c>
      <c r="F89" s="1152">
        <v>30</v>
      </c>
    </row>
    <row r="90" spans="1:6" s="1103" customFormat="1" ht="24">
      <c r="A90" s="1152">
        <v>30</v>
      </c>
      <c r="B90" s="3469"/>
      <c r="C90" s="1066" t="s">
        <v>1562</v>
      </c>
      <c r="D90" s="1066" t="s">
        <v>1563</v>
      </c>
      <c r="E90" s="1137">
        <v>0.2</v>
      </c>
      <c r="F90" s="1152">
        <v>30</v>
      </c>
    </row>
    <row r="91" spans="1:6" s="1103" customFormat="1" ht="36">
      <c r="A91" s="1152">
        <v>31</v>
      </c>
      <c r="B91" s="3469"/>
      <c r="C91" s="1066" t="s">
        <v>1564</v>
      </c>
      <c r="D91" s="1066" t="s">
        <v>1565</v>
      </c>
      <c r="E91" s="1137">
        <v>0.2</v>
      </c>
      <c r="F91" s="1152">
        <v>30</v>
      </c>
    </row>
    <row r="92" spans="1:6" s="1103" customFormat="1" ht="24">
      <c r="A92" s="1152">
        <v>32</v>
      </c>
      <c r="B92" s="3469" t="s">
        <v>1566</v>
      </c>
      <c r="C92" s="1152" t="s">
        <v>1567</v>
      </c>
      <c r="D92" s="1066" t="s">
        <v>1568</v>
      </c>
      <c r="E92" s="1137">
        <v>0.2</v>
      </c>
      <c r="F92" s="1152">
        <v>30</v>
      </c>
    </row>
    <row r="93" spans="1:6" s="1103" customFormat="1" ht="36">
      <c r="A93" s="1152">
        <v>33</v>
      </c>
      <c r="B93" s="3469"/>
      <c r="C93" s="1152" t="s">
        <v>1569</v>
      </c>
      <c r="D93" s="1066" t="s">
        <v>1570</v>
      </c>
      <c r="E93" s="1137">
        <v>0.2</v>
      </c>
      <c r="F93" s="1152">
        <v>30</v>
      </c>
    </row>
    <row r="94" spans="1:6" s="1103" customFormat="1" ht="48">
      <c r="A94" s="1152">
        <v>34</v>
      </c>
      <c r="B94" s="3469"/>
      <c r="C94" s="1152" t="s">
        <v>1571</v>
      </c>
      <c r="D94" s="1066" t="s">
        <v>1572</v>
      </c>
      <c r="E94" s="1137">
        <v>0.2</v>
      </c>
      <c r="F94" s="1152">
        <v>30</v>
      </c>
    </row>
    <row r="95" spans="1:6" s="1103" customFormat="1" ht="36">
      <c r="A95" s="1152">
        <v>35</v>
      </c>
      <c r="B95" s="3469"/>
      <c r="C95" s="1152" t="s">
        <v>1573</v>
      </c>
      <c r="D95" s="1066" t="s">
        <v>1574</v>
      </c>
      <c r="E95" s="1137">
        <v>0.2</v>
      </c>
      <c r="F95" s="1152">
        <v>30</v>
      </c>
    </row>
    <row r="96" spans="1:6" s="1103" customFormat="1" ht="48">
      <c r="A96" s="1152">
        <v>36</v>
      </c>
      <c r="B96" s="3469"/>
      <c r="C96" s="1066" t="s">
        <v>1575</v>
      </c>
      <c r="D96" s="1066" t="s">
        <v>1576</v>
      </c>
      <c r="E96" s="1137">
        <v>0.2</v>
      </c>
      <c r="F96" s="1152">
        <v>30</v>
      </c>
    </row>
    <row r="97" spans="1:6" s="1103" customFormat="1" ht="36">
      <c r="A97" s="1152">
        <v>37</v>
      </c>
      <c r="B97" s="3469"/>
      <c r="C97" s="1152" t="s">
        <v>1577</v>
      </c>
      <c r="D97" s="1066" t="s">
        <v>1578</v>
      </c>
      <c r="E97" s="1137">
        <v>0.2</v>
      </c>
      <c r="F97" s="1152">
        <v>30</v>
      </c>
    </row>
    <row r="98" spans="1:6" s="1103" customFormat="1" ht="36">
      <c r="A98" s="1152">
        <v>38</v>
      </c>
      <c r="B98" s="3469"/>
      <c r="C98" s="1152" t="s">
        <v>1579</v>
      </c>
      <c r="D98" s="1066" t="s">
        <v>1580</v>
      </c>
      <c r="E98" s="1137">
        <v>0.2</v>
      </c>
      <c r="F98" s="1152">
        <v>30</v>
      </c>
    </row>
    <row r="99" spans="1:6" s="1103" customFormat="1" ht="36">
      <c r="A99" s="1152">
        <v>39</v>
      </c>
      <c r="B99" s="3469" t="s">
        <v>1581</v>
      </c>
      <c r="C99" s="1152" t="s">
        <v>1582</v>
      </c>
      <c r="D99" s="1066" t="s">
        <v>1583</v>
      </c>
      <c r="E99" s="1137">
        <v>0.3</v>
      </c>
      <c r="F99" s="1152">
        <v>50</v>
      </c>
    </row>
    <row r="100" spans="1:6" s="1103" customFormat="1" ht="24">
      <c r="A100" s="1152">
        <v>40</v>
      </c>
      <c r="B100" s="3469"/>
      <c r="C100" s="1152" t="s">
        <v>1584</v>
      </c>
      <c r="D100" s="1066" t="s">
        <v>1585</v>
      </c>
      <c r="E100" s="1137">
        <v>0.2</v>
      </c>
      <c r="F100" s="1152">
        <v>30</v>
      </c>
    </row>
    <row r="101" spans="1:6" s="1103" customFormat="1" ht="36">
      <c r="A101" s="1152">
        <v>41</v>
      </c>
      <c r="B101" s="3469"/>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69" t="s">
        <v>1596</v>
      </c>
      <c r="C105" s="1152" t="s">
        <v>1597</v>
      </c>
      <c r="D105" s="1066" t="s">
        <v>1598</v>
      </c>
      <c r="E105" s="1137">
        <v>0.2</v>
      </c>
      <c r="F105" s="1152">
        <v>30</v>
      </c>
    </row>
    <row r="106" spans="1:6" s="1103" customFormat="1" ht="36">
      <c r="A106" s="1152">
        <v>46</v>
      </c>
      <c r="B106" s="3469"/>
      <c r="C106" s="1152" t="s">
        <v>1599</v>
      </c>
      <c r="D106" s="1066" t="s">
        <v>1600</v>
      </c>
      <c r="E106" s="1137">
        <v>0.2</v>
      </c>
      <c r="F106" s="1152">
        <v>30</v>
      </c>
    </row>
    <row r="107" spans="1:6" s="1103" customFormat="1" ht="36">
      <c r="A107" s="1152">
        <v>47</v>
      </c>
      <c r="B107" s="3469" t="s">
        <v>1601</v>
      </c>
      <c r="C107" s="1152" t="s">
        <v>1602</v>
      </c>
      <c r="D107" s="1066" t="s">
        <v>1603</v>
      </c>
      <c r="E107" s="1137">
        <v>0.3</v>
      </c>
      <c r="F107" s="1152">
        <v>50</v>
      </c>
    </row>
    <row r="108" spans="1:6" s="1103" customFormat="1" ht="36">
      <c r="A108" s="1152">
        <v>48</v>
      </c>
      <c r="B108" s="3469"/>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69" t="s">
        <v>1612</v>
      </c>
      <c r="C111" s="1152" t="s">
        <v>1613</v>
      </c>
      <c r="D111" s="1066" t="s">
        <v>1614</v>
      </c>
      <c r="E111" s="1137">
        <v>0.2</v>
      </c>
      <c r="F111" s="1152">
        <v>30</v>
      </c>
    </row>
    <row r="112" spans="1:6" s="1103" customFormat="1" ht="24">
      <c r="A112" s="1152">
        <v>52</v>
      </c>
      <c r="B112" s="3469"/>
      <c r="C112" s="1152" t="s">
        <v>1615</v>
      </c>
      <c r="D112" s="1066" t="s">
        <v>1616</v>
      </c>
      <c r="E112" s="1137">
        <v>0.2</v>
      </c>
      <c r="F112" s="1152">
        <v>30</v>
      </c>
    </row>
    <row r="113" spans="1:14" s="1103" customFormat="1" ht="24">
      <c r="A113" s="1152">
        <v>53</v>
      </c>
      <c r="B113" s="3469"/>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69" t="s">
        <v>1625</v>
      </c>
      <c r="C116" s="1152" t="s">
        <v>1626</v>
      </c>
      <c r="D116" s="1066" t="s">
        <v>1627</v>
      </c>
      <c r="E116" s="1137">
        <v>0.2</v>
      </c>
      <c r="F116" s="1152">
        <v>30</v>
      </c>
    </row>
    <row r="117" spans="1:14" ht="36">
      <c r="A117" s="1152">
        <v>57</v>
      </c>
      <c r="B117" s="3469"/>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68" t="s">
        <v>1634</v>
      </c>
      <c r="B121" s="3468"/>
      <c r="C121" s="3468"/>
      <c r="D121" s="3468"/>
      <c r="E121" s="3468"/>
      <c r="F121" s="3468"/>
      <c r="G121" s="3468"/>
      <c r="H121" s="3468"/>
      <c r="I121" s="3468"/>
      <c r="J121" s="346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3" t="s">
        <v>1040</v>
      </c>
      <c r="B1" s="3473"/>
      <c r="C1" s="3473"/>
      <c r="D1" s="3473"/>
      <c r="E1" s="3473"/>
      <c r="F1" s="3473"/>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74" t="s">
        <v>1053</v>
      </c>
      <c r="B2" s="3474"/>
      <c r="C2" s="3474"/>
      <c r="D2" s="3474"/>
      <c r="E2" s="3474"/>
      <c r="F2" s="3474"/>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75"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76"/>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7" t="s">
        <v>2080</v>
      </c>
      <c r="B1" s="3477"/>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2940</v>
      </c>
      <c r="B1" s="3098"/>
      <c r="C1" s="3098"/>
      <c r="D1" s="3098"/>
      <c r="E1" s="3098"/>
      <c r="F1" s="3098"/>
    </row>
    <row r="2" spans="1:6" ht="14.25">
      <c r="A2" s="3099" t="s">
        <v>2935</v>
      </c>
      <c r="B2" s="3100" t="e">
        <f ca="1">SUMIF(B7:B14,"&lt;&gt;#ref!",B7:B14)</f>
        <v>#DIV/0!</v>
      </c>
      <c r="C2" s="3099" t="s">
        <v>2936</v>
      </c>
      <c r="D2" s="3098"/>
      <c r="E2" s="3098"/>
      <c r="F2" s="3098"/>
    </row>
    <row r="3" spans="1:6" ht="14.25">
      <c r="A3" s="3099" t="s">
        <v>2969</v>
      </c>
      <c r="B3" s="3100" t="e">
        <f ca="1">ROUND(B2*10000/E3,0)</f>
        <v>#DIV/0!</v>
      </c>
      <c r="C3" s="3099" t="s">
        <v>2079</v>
      </c>
      <c r="D3" s="3099" t="s">
        <v>2937</v>
      </c>
      <c r="E3" s="3100">
        <f ca="1">SUMIF(E7:E14,"&lt;&gt;#ref!",E7:E14)</f>
        <v>0</v>
      </c>
      <c r="F3" s="3098"/>
    </row>
    <row r="4" spans="1:6" ht="14.25">
      <c r="A4" s="3099" t="s">
        <v>2944</v>
      </c>
      <c r="B4" s="3100" t="e">
        <f ca="1">ROUND(B2*10000/E4,0)</f>
        <v>#DIV/0!</v>
      </c>
      <c r="C4" s="3099" t="s">
        <v>2079</v>
      </c>
      <c r="D4" s="3099" t="s">
        <v>2945</v>
      </c>
      <c r="E4" s="3100">
        <f ca="1">SUMIF(F7:F14,"&lt;&gt;#ref!",F7:F14)</f>
        <v>0</v>
      </c>
      <c r="F4" s="3098"/>
    </row>
    <row r="5" spans="1:6" ht="14.25">
      <c r="A5" s="3101"/>
      <c r="B5" s="1877"/>
      <c r="C5" s="1877"/>
      <c r="D5" s="1877"/>
      <c r="E5" s="1877"/>
      <c r="F5" s="3098"/>
    </row>
    <row r="6" spans="1:6" ht="28.5">
      <c r="A6" s="3102" t="s">
        <v>2941</v>
      </c>
      <c r="B6" s="3099" t="s">
        <v>2938</v>
      </c>
      <c r="C6" s="3100"/>
      <c r="D6" s="1877"/>
      <c r="E6" s="3099" t="s">
        <v>2939</v>
      </c>
      <c r="F6" s="3099" t="s">
        <v>2943</v>
      </c>
    </row>
    <row r="7" spans="1:6" ht="14.25">
      <c r="A7" s="259" t="s">
        <v>2942</v>
      </c>
      <c r="B7" s="3103" t="e">
        <f ca="1">SUMIF(INDIRECT("'"&amp;A7&amp;"'"&amp;"!A:A"),"总价",INDIRECT("'"&amp;A7&amp;"'"&amp;"!B:B"))</f>
        <v>#DIV/0!</v>
      </c>
      <c r="C7" s="3099" t="s">
        <v>2936</v>
      </c>
      <c r="D7" s="1877"/>
      <c r="E7" s="3104">
        <f ca="1">SUMIF(INDIRECT("'"&amp;A7&amp;"'"&amp;"!C:C"),"建筑面积",INDIRECT("'"&amp;A7&amp;"'"&amp;"!D:D"))</f>
        <v>0</v>
      </c>
      <c r="F7" s="3104">
        <f ca="1">SUMIF(INDIRECT("'"&amp;A7&amp;"'"&amp;"!E:E"),"土地面积",INDIRECT("'"&amp;A7&amp;"'"&amp;"!F:F"))</f>
        <v>0</v>
      </c>
    </row>
    <row r="8" spans="1:6" ht="14.25">
      <c r="A8" s="259"/>
      <c r="B8" s="3103" t="e">
        <f t="shared" ref="B8:B14" ca="1" si="0">SUMIF(INDIRECT("'"&amp;A8&amp;"'"&amp;"!A:A"),"总价",INDIRECT("'"&amp;A8&amp;"'"&amp;"!B:B"))</f>
        <v>#REF!</v>
      </c>
      <c r="C8" s="3099" t="s">
        <v>2936</v>
      </c>
      <c r="D8" s="1877"/>
      <c r="E8" s="3104" t="e">
        <f t="shared" ref="E8:E14" ca="1" si="1">SUMIF(INDIRECT("'"&amp;A8&amp;"'"&amp;"!C:C"),"建筑面积",INDIRECT("'"&amp;A8&amp;"'"&amp;"!D:D"))</f>
        <v>#REF!</v>
      </c>
      <c r="F8" s="3104" t="e">
        <f t="shared" ref="F8:F14" ca="1" si="2">SUMIF(INDIRECT("'"&amp;A8&amp;"'"&amp;"!E:E"),"土地面积",INDIRECT("'"&amp;A8&amp;"'"&amp;"!F:F"))</f>
        <v>#REF!</v>
      </c>
    </row>
    <row r="9" spans="1:6" ht="14.25">
      <c r="A9" s="259"/>
      <c r="B9" s="3103" t="e">
        <f t="shared" ca="1" si="0"/>
        <v>#REF!</v>
      </c>
      <c r="C9" s="3099" t="s">
        <v>2936</v>
      </c>
      <c r="D9" s="1877"/>
      <c r="E9" s="3104" t="e">
        <f t="shared" ca="1" si="1"/>
        <v>#REF!</v>
      </c>
      <c r="F9" s="3104" t="e">
        <f t="shared" ca="1" si="2"/>
        <v>#REF!</v>
      </c>
    </row>
    <row r="10" spans="1:6" ht="14.25">
      <c r="A10" s="259"/>
      <c r="B10" s="3103" t="e">
        <f t="shared" ca="1" si="0"/>
        <v>#REF!</v>
      </c>
      <c r="C10" s="3099" t="s">
        <v>2936</v>
      </c>
      <c r="D10" s="1877"/>
      <c r="E10" s="3104" t="e">
        <f t="shared" ca="1" si="1"/>
        <v>#REF!</v>
      </c>
      <c r="F10" s="3104" t="e">
        <f t="shared" ca="1" si="2"/>
        <v>#REF!</v>
      </c>
    </row>
    <row r="11" spans="1:6" ht="14.25">
      <c r="A11" s="259"/>
      <c r="B11" s="3103" t="e">
        <f t="shared" ca="1" si="0"/>
        <v>#REF!</v>
      </c>
      <c r="C11" s="3099" t="s">
        <v>2936</v>
      </c>
      <c r="D11" s="1877"/>
      <c r="E11" s="3104" t="e">
        <f t="shared" ca="1" si="1"/>
        <v>#REF!</v>
      </c>
      <c r="F11" s="3104" t="e">
        <f t="shared" ca="1" si="2"/>
        <v>#REF!</v>
      </c>
    </row>
    <row r="12" spans="1:6" ht="14.25">
      <c r="A12" s="259"/>
      <c r="B12" s="3103" t="e">
        <f t="shared" ca="1" si="0"/>
        <v>#REF!</v>
      </c>
      <c r="C12" s="3099" t="s">
        <v>2936</v>
      </c>
      <c r="D12" s="1877"/>
      <c r="E12" s="3104" t="e">
        <f t="shared" ca="1" si="1"/>
        <v>#REF!</v>
      </c>
      <c r="F12" s="3104" t="e">
        <f t="shared" ca="1" si="2"/>
        <v>#REF!</v>
      </c>
    </row>
    <row r="13" spans="1:6" ht="14.25">
      <c r="A13" s="259"/>
      <c r="B13" s="3103" t="e">
        <f t="shared" ca="1" si="0"/>
        <v>#REF!</v>
      </c>
      <c r="C13" s="3099" t="s">
        <v>2936</v>
      </c>
      <c r="D13" s="1877"/>
      <c r="E13" s="3104" t="e">
        <f t="shared" ca="1" si="1"/>
        <v>#REF!</v>
      </c>
      <c r="F13" s="3104" t="e">
        <f t="shared" ca="1" si="2"/>
        <v>#REF!</v>
      </c>
    </row>
    <row r="14" spans="1:6" ht="14.25">
      <c r="A14" s="3097"/>
      <c r="B14" s="3103" t="e">
        <f t="shared" ca="1" si="0"/>
        <v>#REF!</v>
      </c>
      <c r="C14" s="3099" t="s">
        <v>2936</v>
      </c>
      <c r="D14" s="1877"/>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628</v>
      </c>
      <c r="B1" s="737"/>
      <c r="C1" s="772"/>
      <c r="D1" s="2046"/>
      <c r="E1" s="2383" t="s">
        <v>2374</v>
      </c>
      <c r="F1" s="2384">
        <f ca="1">J54</f>
        <v>-1.5</v>
      </c>
      <c r="G1" s="773">
        <f>MATCH(C1,'数据-取费表'!A6:A16,0)+5</f>
        <v>10</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4">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5" t="s">
        <v>695</v>
      </c>
      <c r="I3" s="2053"/>
      <c r="J3" s="2053"/>
      <c r="K3" s="2054"/>
      <c r="L3" s="2053"/>
      <c r="M3" s="2053"/>
    </row>
    <row r="4" spans="1:25" ht="18" customHeight="1">
      <c r="A4" s="1643" t="s">
        <v>696</v>
      </c>
      <c r="B4" s="1350">
        <f ca="1">ROUND(B2*10000/'数据-汇总表'!D3,0)</f>
        <v>0</v>
      </c>
      <c r="C4" s="427"/>
      <c r="D4" s="2051"/>
      <c r="E4" s="2052"/>
      <c r="F4" s="2052"/>
      <c r="G4" s="1587"/>
      <c r="H4" s="775"/>
      <c r="I4" s="2053"/>
      <c r="J4" s="2053"/>
      <c r="K4" s="2054"/>
      <c r="L4" s="2053"/>
      <c r="M4" s="2053"/>
    </row>
    <row r="5" spans="1:25" ht="18" customHeight="1" thickBot="1">
      <c r="A5" s="1644"/>
      <c r="B5" s="429">
        <f ca="1">ROUND(B2/('数据-汇总表'!D3/666.67),0)</f>
        <v>0</v>
      </c>
      <c r="C5" s="430" t="s">
        <v>697</v>
      </c>
      <c r="D5" s="2051"/>
      <c r="E5" s="2052"/>
      <c r="F5" s="2052"/>
      <c r="G5" s="1587"/>
      <c r="H5" s="775"/>
      <c r="I5" s="2053"/>
      <c r="J5" s="2053"/>
      <c r="K5" s="2054"/>
      <c r="L5" s="2053"/>
      <c r="M5" s="2053"/>
    </row>
    <row r="6" spans="1:25" ht="18" customHeight="1">
      <c r="A6" s="1824" t="s">
        <v>698</v>
      </c>
      <c r="B6" s="1816" t="s">
        <v>699</v>
      </c>
      <c r="C6" s="1816" t="s">
        <v>632</v>
      </c>
      <c r="D6" s="1816" t="s">
        <v>633</v>
      </c>
      <c r="E6" s="778" t="s">
        <v>634</v>
      </c>
      <c r="F6" s="779"/>
      <c r="G6" s="1589"/>
      <c r="H6" s="1824" t="s">
        <v>630</v>
      </c>
      <c r="I6" s="1816" t="s">
        <v>631</v>
      </c>
      <c r="J6" s="1816" t="s">
        <v>632</v>
      </c>
      <c r="K6" s="1816" t="s">
        <v>633</v>
      </c>
      <c r="L6" s="778" t="s">
        <v>634</v>
      </c>
      <c r="M6" s="779"/>
    </row>
    <row r="7" spans="1:25" ht="18" customHeight="1">
      <c r="A7" s="780">
        <v>1</v>
      </c>
      <c r="B7" s="781" t="s">
        <v>2458</v>
      </c>
      <c r="C7" s="53">
        <f ca="1">C8+C12+C14</f>
        <v>0</v>
      </c>
      <c r="D7" s="2492" t="s">
        <v>2461</v>
      </c>
      <c r="E7" s="2486"/>
      <c r="F7" s="2487"/>
      <c r="G7" s="1589"/>
      <c r="H7" s="780">
        <v>1</v>
      </c>
      <c r="I7" s="781" t="s">
        <v>2458</v>
      </c>
      <c r="J7" s="53">
        <f ca="1">J8+J12+J14</f>
        <v>0</v>
      </c>
      <c r="K7" s="2492" t="s">
        <v>2461</v>
      </c>
      <c r="L7" s="2486"/>
      <c r="M7" s="2487"/>
    </row>
    <row r="8" spans="1:25" ht="18" customHeight="1">
      <c r="A8" s="1826" t="s">
        <v>1825</v>
      </c>
      <c r="B8" s="3479" t="s">
        <v>2463</v>
      </c>
      <c r="C8" s="1821">
        <f ca="1">ROUND(F8*F10*F9*(1-F11)/10000,0)</f>
        <v>0</v>
      </c>
      <c r="D8" s="1818" t="s">
        <v>2534</v>
      </c>
      <c r="E8" s="61" t="s">
        <v>637</v>
      </c>
      <c r="F8" s="784">
        <f ca="1">INDIRECT("'数据-取费表'!u"&amp;$G$1)</f>
        <v>0</v>
      </c>
      <c r="G8" s="1589"/>
      <c r="H8" s="2500" t="s">
        <v>1825</v>
      </c>
      <c r="I8" s="3479" t="s">
        <v>2463</v>
      </c>
      <c r="J8" s="782">
        <f ca="1">ROUND(M8*M10*M9*(1-M11)/10000,0)</f>
        <v>0</v>
      </c>
      <c r="K8" s="340" t="s">
        <v>2534</v>
      </c>
      <c r="L8" s="783" t="s">
        <v>1739</v>
      </c>
      <c r="M8" s="784">
        <f ca="1">INDIRECT("'数据-取费表'!z"&amp;$G$1)</f>
        <v>0</v>
      </c>
    </row>
    <row r="9" spans="1:25" ht="18" customHeight="1">
      <c r="A9" s="2496"/>
      <c r="B9" s="3480"/>
      <c r="C9" s="1822"/>
      <c r="D9" s="1819"/>
      <c r="E9" s="61" t="s">
        <v>638</v>
      </c>
      <c r="F9" s="784">
        <f ca="1">IF(INDIRECT("'数据-取费表'!ah"&amp;$G$1)="",INDIRECT("'数据-取费表'!k"&amp;$G$1),INDIRECT("'数据-取费表'!ah"&amp;$G$1))</f>
        <v>0</v>
      </c>
      <c r="G9" s="1589"/>
      <c r="H9" s="2485"/>
      <c r="I9" s="3480"/>
      <c r="J9" s="787"/>
      <c r="K9" s="788"/>
      <c r="L9" s="783" t="s">
        <v>1740</v>
      </c>
      <c r="M9" s="784">
        <f ca="1">F9</f>
        <v>0</v>
      </c>
    </row>
    <row r="10" spans="1:25" ht="18" customHeight="1">
      <c r="A10" s="2489"/>
      <c r="B10" s="3481"/>
      <c r="C10" s="1822"/>
      <c r="D10" s="1819"/>
      <c r="E10" s="61" t="s">
        <v>639</v>
      </c>
      <c r="F10" s="784">
        <f ca="1">INDIRECT("'数据-取费表'!ai"&amp;$G$1)</f>
        <v>0</v>
      </c>
      <c r="G10" s="1589"/>
      <c r="H10" s="2485"/>
      <c r="I10" s="3481"/>
      <c r="J10" s="787"/>
      <c r="K10" s="788"/>
      <c r="L10" s="783" t="s">
        <v>1741</v>
      </c>
      <c r="M10" s="784">
        <f ca="1">INDIRECT("'数据-取费表'!ai"&amp;$G$1)</f>
        <v>0</v>
      </c>
    </row>
    <row r="11" spans="1:25" ht="18" customHeight="1">
      <c r="A11" s="785"/>
      <c r="B11" s="3482"/>
      <c r="C11" s="1822"/>
      <c r="D11" s="1819"/>
      <c r="E11" s="61" t="s">
        <v>640</v>
      </c>
      <c r="F11" s="793">
        <f ca="1">INDIRECT("'数据-取费表'!w"&amp;$G$1)</f>
        <v>0</v>
      </c>
      <c r="G11" s="1589"/>
      <c r="H11" s="2501"/>
      <c r="I11" s="3481"/>
      <c r="J11" s="787"/>
      <c r="K11" s="788"/>
      <c r="L11" s="794" t="s">
        <v>1742</v>
      </c>
      <c r="M11" s="795">
        <f ca="1">INDIRECT("'数据-取费表'!ab"&amp;$G$1)</f>
        <v>0</v>
      </c>
    </row>
    <row r="12" spans="1:25" ht="18" customHeight="1">
      <c r="A12" s="1826" t="s">
        <v>1826</v>
      </c>
      <c r="B12" s="2490" t="s">
        <v>2459</v>
      </c>
      <c r="C12" s="798">
        <f ca="1">ROUND(IF(F12="押一",C8/12*F13,IF(F12="押二",C8/12*2*F13,IF(F12="押三",C8/12*3*F13,C13*F13))),0)</f>
        <v>0</v>
      </c>
      <c r="D12" s="2497" t="s">
        <v>2965</v>
      </c>
      <c r="E12" s="2494" t="s">
        <v>2464</v>
      </c>
      <c r="F12" s="2617"/>
      <c r="G12" s="1589"/>
      <c r="H12" s="2557" t="s">
        <v>1826</v>
      </c>
      <c r="I12" s="2562" t="s">
        <v>2459</v>
      </c>
      <c r="J12" s="782">
        <f ca="1">ROUND(IF(M12="押一",J8/12*M13,IF(M12="押二",J8/12*2*M13,IF(M12="押三",J8/12*3*M13,J13*M13))),0)</f>
        <v>0</v>
      </c>
      <c r="K12" s="2497" t="s">
        <v>2965</v>
      </c>
      <c r="L12" s="2494" t="s">
        <v>2464</v>
      </c>
      <c r="M12" s="2617"/>
    </row>
    <row r="13" spans="1:25" ht="18" customHeight="1">
      <c r="A13" s="789"/>
      <c r="B13" s="2491" t="s">
        <v>2573</v>
      </c>
      <c r="C13" s="2495"/>
      <c r="D13" s="788"/>
      <c r="E13" s="2494" t="s">
        <v>2456</v>
      </c>
      <c r="F13" s="795">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1">
        <f ca="1">ROUND(C31*F15,0)</f>
        <v>0</v>
      </c>
      <c r="D15" s="1830" t="s">
        <v>642</v>
      </c>
      <c r="E15" s="794" t="s">
        <v>643</v>
      </c>
      <c r="F15" s="799">
        <f ca="1">INDIRECT("'数据-取费表'!y"&amp;$G$1)</f>
        <v>0</v>
      </c>
      <c r="G15" s="1589"/>
      <c r="H15" s="1825" t="s">
        <v>1827</v>
      </c>
      <c r="I15" s="1823" t="s">
        <v>644</v>
      </c>
      <c r="J15" s="1815">
        <f ca="1">ROUND(J16*J17,0)</f>
        <v>0</v>
      </c>
      <c r="K15" s="1817" t="s">
        <v>642</v>
      </c>
      <c r="L15" s="800"/>
      <c r="M15" s="801"/>
    </row>
    <row r="16" spans="1:25" ht="18" customHeight="1">
      <c r="A16" s="802" t="s">
        <v>1876</v>
      </c>
      <c r="B16" s="783" t="s">
        <v>645</v>
      </c>
      <c r="C16" s="803">
        <f ca="1">INDIRECT("'数据-取费表'!m"&amp;$G$1)+INDIRECT("'数据-取费表'!t"&amp;$G$1)</f>
        <v>0</v>
      </c>
      <c r="D16" s="1975" t="s">
        <v>646</v>
      </c>
      <c r="E16" s="1976"/>
      <c r="F16" s="804"/>
      <c r="G16" s="1589"/>
      <c r="H16" s="802" t="s">
        <v>2070</v>
      </c>
      <c r="I16" s="2227" t="s">
        <v>2825</v>
      </c>
      <c r="J16" s="53">
        <f ca="1">C31</f>
        <v>0</v>
      </c>
      <c r="K16" s="26"/>
      <c r="L16" s="800"/>
      <c r="M16" s="801"/>
    </row>
    <row r="17" spans="1:25" s="2060" customFormat="1" ht="18" customHeight="1">
      <c r="A17" s="802" t="s">
        <v>1850</v>
      </c>
      <c r="B17" s="783" t="s">
        <v>647</v>
      </c>
      <c r="C17" s="53">
        <f ca="1">ROUND(C16*F17,0)</f>
        <v>0</v>
      </c>
      <c r="D17" s="805" t="s">
        <v>648</v>
      </c>
      <c r="E17" s="805" t="s">
        <v>649</v>
      </c>
      <c r="F17" s="806">
        <f>'数据-取费表'!B33</f>
        <v>0.03</v>
      </c>
      <c r="G17" s="1590"/>
      <c r="H17" s="802" t="s">
        <v>2071</v>
      </c>
      <c r="I17" s="783" t="s">
        <v>643</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89"/>
      <c r="H18" s="796" t="s">
        <v>1828</v>
      </c>
      <c r="I18" s="797" t="s">
        <v>651</v>
      </c>
      <c r="J18" s="798">
        <f ca="1">ROUND(J19+J24+J25+J26,0)</f>
        <v>0</v>
      </c>
      <c r="K18" s="26" t="s">
        <v>652</v>
      </c>
      <c r="L18" s="1978"/>
      <c r="M18" s="56"/>
    </row>
    <row r="19" spans="1:25" s="2060" customFormat="1" ht="18" customHeight="1">
      <c r="A19" s="802" t="s">
        <v>1852</v>
      </c>
      <c r="B19" s="783" t="s">
        <v>653</v>
      </c>
      <c r="C19" s="53">
        <f ca="1">ROUND(F19*(INDIRECT("'数据-取费表'!k"&amp;$G$1)+INDIRECT("'数据-取费表'!S"&amp;$G$1))/10000,0)</f>
        <v>0</v>
      </c>
      <c r="D19" s="783" t="s">
        <v>654</v>
      </c>
      <c r="E19" s="783" t="s">
        <v>655</v>
      </c>
      <c r="F19" s="56">
        <f>'数据-取费表'!B35</f>
        <v>200</v>
      </c>
      <c r="G19" s="1590"/>
      <c r="H19" s="802" t="s">
        <v>2070</v>
      </c>
      <c r="I19" s="783" t="s">
        <v>656</v>
      </c>
      <c r="J19" s="53">
        <f ca="1">ROUND(IF(项目基本情况!B11="自然人",J7*M19,J20+J21+J22),0)</f>
        <v>0</v>
      </c>
      <c r="K19" s="1975" t="s">
        <v>657</v>
      </c>
      <c r="L19" s="1973" t="s">
        <v>658</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1853</v>
      </c>
      <c r="B20" s="783" t="s">
        <v>659</v>
      </c>
      <c r="C20" s="53">
        <f ca="1">ROUND(C16*F20,0)</f>
        <v>0</v>
      </c>
      <c r="D20" s="783" t="s">
        <v>648</v>
      </c>
      <c r="E20" s="783" t="s">
        <v>649</v>
      </c>
      <c r="F20" s="808">
        <f>'数据-取费表'!B36</f>
        <v>1.4999999999999999E-2</v>
      </c>
      <c r="G20" s="1590"/>
      <c r="H20" s="802" t="s">
        <v>1832</v>
      </c>
      <c r="I20" s="783" t="s">
        <v>660</v>
      </c>
      <c r="J20" s="53">
        <f ca="1">ROUND(J7*M20/1.05,1)</f>
        <v>0</v>
      </c>
      <c r="K20" s="1973" t="s">
        <v>661</v>
      </c>
      <c r="L20" s="783" t="s">
        <v>649</v>
      </c>
      <c r="M20" s="808">
        <f>'数据-取费表'!B41</f>
        <v>5.6000000000000001E-2</v>
      </c>
      <c r="N20" s="2059"/>
      <c r="O20" s="2059"/>
      <c r="P20" s="2059"/>
      <c r="Q20" s="2059"/>
      <c r="R20" s="2059"/>
      <c r="S20" s="2059"/>
      <c r="T20" s="2059"/>
      <c r="U20" s="2059"/>
      <c r="V20" s="2059"/>
      <c r="W20" s="2059"/>
      <c r="X20" s="2059"/>
      <c r="Y20" s="2059"/>
    </row>
    <row r="21" spans="1:25" ht="18" customHeight="1">
      <c r="A21" s="802" t="s">
        <v>1877</v>
      </c>
      <c r="B21" s="783" t="s">
        <v>662</v>
      </c>
      <c r="C21" s="53">
        <f ca="1">SUM(C16:C20)</f>
        <v>0</v>
      </c>
      <c r="D21" s="260" t="s">
        <v>663</v>
      </c>
      <c r="E21" s="1978"/>
      <c r="F21" s="56"/>
      <c r="G21" s="1589"/>
      <c r="H21" s="1826" t="s">
        <v>1850</v>
      </c>
      <c r="I21" s="783" t="s">
        <v>664</v>
      </c>
      <c r="J21" s="53">
        <f ca="1">IF(K21="按租金收入计税",ROUND(J7*M21,1),ROUND(C31*F35*0.7,1))</f>
        <v>0</v>
      </c>
      <c r="K21" s="810" t="s">
        <v>665</v>
      </c>
      <c r="L21" s="783" t="s">
        <v>649</v>
      </c>
      <c r="M21" s="808">
        <f>IF(K21="按租金收入计税",'数据-取费表'!B51,'数据-取费表'!B50)</f>
        <v>1.2E-2</v>
      </c>
    </row>
    <row r="22" spans="1:25" s="2060" customFormat="1" ht="18" customHeight="1">
      <c r="A22" s="802" t="s">
        <v>1878</v>
      </c>
      <c r="B22" s="783" t="s">
        <v>666</v>
      </c>
      <c r="C22" s="53">
        <f ca="1">ROUND(C21*F22,0)</f>
        <v>0</v>
      </c>
      <c r="D22" s="811" t="s">
        <v>667</v>
      </c>
      <c r="E22" s="783" t="s">
        <v>649</v>
      </c>
      <c r="F22" s="808">
        <f>'数据-取费表'!B37</f>
        <v>0.02</v>
      </c>
      <c r="G22" s="1590"/>
      <c r="H22" s="1828" t="s">
        <v>1851</v>
      </c>
      <c r="I22" s="1818" t="s">
        <v>668</v>
      </c>
      <c r="J22" s="54">
        <f ca="1">ROUND(M22*M23/10000,0)</f>
        <v>0</v>
      </c>
      <c r="K22" s="813" t="s">
        <v>669</v>
      </c>
      <c r="L22" s="783" t="s">
        <v>670</v>
      </c>
      <c r="M22" s="639">
        <f>'数据-取费表'!B52</f>
        <v>25</v>
      </c>
      <c r="N22" s="2059"/>
      <c r="O22" s="2059"/>
      <c r="P22" s="2059"/>
      <c r="Q22" s="2059"/>
      <c r="R22" s="2059"/>
      <c r="S22" s="2059"/>
      <c r="T22" s="2059"/>
      <c r="U22" s="2059"/>
      <c r="V22" s="2059"/>
      <c r="W22" s="2059"/>
      <c r="X22" s="2059"/>
      <c r="Y22" s="2059"/>
    </row>
    <row r="23" spans="1:25" s="2060" customFormat="1" ht="18" customHeight="1">
      <c r="A23" s="802" t="s">
        <v>1879</v>
      </c>
      <c r="B23" s="783" t="s">
        <v>671</v>
      </c>
      <c r="C23" s="53" t="s">
        <v>1</v>
      </c>
      <c r="D23" s="811" t="s">
        <v>672</v>
      </c>
      <c r="E23" s="783" t="s">
        <v>673</v>
      </c>
      <c r="F23" s="808">
        <f>'数据-取费表'!B38</f>
        <v>0.02</v>
      </c>
      <c r="G23" s="1590"/>
      <c r="H23" s="1829"/>
      <c r="I23" s="1820"/>
      <c r="J23" s="69"/>
      <c r="K23" s="815"/>
      <c r="L23" s="783" t="s">
        <v>674</v>
      </c>
      <c r="M23" s="784">
        <f ca="1">INDIRECT("'数据-取费表'!r"&amp;$G$1)</f>
        <v>0</v>
      </c>
      <c r="N23" s="2059"/>
      <c r="O23" s="2059"/>
      <c r="P23" s="2059"/>
      <c r="Q23" s="2059"/>
      <c r="R23" s="2059"/>
      <c r="S23" s="2059"/>
      <c r="T23" s="2059"/>
      <c r="U23" s="2059"/>
      <c r="V23" s="2059"/>
      <c r="W23" s="2059"/>
      <c r="X23" s="2059"/>
      <c r="Y23" s="2059"/>
    </row>
    <row r="24" spans="1:25" ht="18" customHeight="1">
      <c r="A24" s="802" t="s">
        <v>1880</v>
      </c>
      <c r="B24" s="783" t="s">
        <v>675</v>
      </c>
      <c r="C24" s="53"/>
      <c r="D24" s="2568" t="str">
        <f>IF(F25&lt;=1,"单利计息。","复利计息。")&amp;"建造成本、管理费用、销售费用产生的利息。"</f>
        <v>复利计息。建造成本、管理费用、销售费用产生的利息。</v>
      </c>
      <c r="E24" s="1978"/>
      <c r="F24" s="56"/>
      <c r="G24" s="1589"/>
      <c r="H24" s="1827" t="s">
        <v>2071</v>
      </c>
      <c r="I24" s="783" t="s">
        <v>676</v>
      </c>
      <c r="J24" s="53">
        <f ca="1">ROUND(J16*M24,0)</f>
        <v>0</v>
      </c>
      <c r="K24" s="1973" t="s">
        <v>677</v>
      </c>
      <c r="L24" s="783" t="s">
        <v>649</v>
      </c>
      <c r="M24" s="816">
        <f ca="1">INDIRECT("'数据-取费表'!Ak"&amp;$G$1)</f>
        <v>0</v>
      </c>
    </row>
    <row r="25" spans="1:25" s="2060" customFormat="1" ht="18" customHeight="1">
      <c r="A25" s="802" t="s">
        <v>1876</v>
      </c>
      <c r="B25" s="783" t="s">
        <v>2437</v>
      </c>
      <c r="C25" s="53">
        <f ca="1">ROUND(IF('数据-取费表'!B22&lt;=1,(C21+C22)*F26*F25/2,(C21+C22)*(POWER((1+F26),F25/2)-1)),0)</f>
        <v>0</v>
      </c>
      <c r="D25" s="2567" t="str">
        <f>IF(F25&lt;=1,"(建造成本+管理费用)×利率×(建设周期÷2)","(建造成本+管理费用)×((1+利率)^(建设周期÷2)-1)")</f>
        <v>(建造成本+管理费用)×((1+利率)^(建设周期÷2)-1)</v>
      </c>
      <c r="E25" s="783" t="s">
        <v>678</v>
      </c>
      <c r="F25" s="639">
        <f>'数据-取费表'!B20</f>
        <v>1.5</v>
      </c>
      <c r="G25" s="1590"/>
      <c r="H25" s="802" t="s">
        <v>1879</v>
      </c>
      <c r="I25" s="783" t="s">
        <v>679</v>
      </c>
      <c r="J25" s="53">
        <f ca="1">ROUND(J15*M25,0)</f>
        <v>0</v>
      </c>
      <c r="K25" s="1973" t="s">
        <v>680</v>
      </c>
      <c r="L25" s="783" t="s">
        <v>649</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1850</v>
      </c>
      <c r="B26" s="783" t="s">
        <v>681</v>
      </c>
      <c r="C26" s="53">
        <f ca="1">ROUND(IF('数据-取费表'!B22&lt;=1,F23*F26*F25/2,F23*(POWER((1+F26),F25/2)-1)),4)</f>
        <v>6.9999999999999999E-4</v>
      </c>
      <c r="D26" s="2567" t="str">
        <f>IF(F25&lt;=1,"销售费用×利率×(建设周期÷2)","销售费用×((1+利率)^(建设周期÷2)-1)")</f>
        <v>销售费用×((1+利率)^(建设周期÷2)-1)</v>
      </c>
      <c r="E26" s="783" t="s">
        <v>682</v>
      </c>
      <c r="F26" s="818">
        <f ca="1">'数据-取费表'!B40</f>
        <v>4.7500000000000001E-2</v>
      </c>
      <c r="G26" s="1590"/>
      <c r="H26" s="802" t="s">
        <v>1880</v>
      </c>
      <c r="I26" s="783" t="s">
        <v>666</v>
      </c>
      <c r="J26" s="53">
        <f ca="1">ROUND(J7*M26,0)</f>
        <v>0</v>
      </c>
      <c r="K26" s="1973" t="s">
        <v>683</v>
      </c>
      <c r="L26" s="783" t="s">
        <v>649</v>
      </c>
      <c r="M26" s="793">
        <f ca="1">INDIRECT("'数据-取费表'!Am"&amp;$G$1)</f>
        <v>0</v>
      </c>
      <c r="N26" s="2059"/>
      <c r="O26" s="2059"/>
      <c r="P26" s="2059"/>
      <c r="Q26" s="2059"/>
      <c r="R26" s="2059"/>
      <c r="S26" s="2059"/>
      <c r="T26" s="2059"/>
      <c r="U26" s="2059"/>
      <c r="V26" s="2059"/>
      <c r="W26" s="2059"/>
      <c r="X26" s="2059"/>
      <c r="Y26" s="2059"/>
    </row>
    <row r="27" spans="1:25" ht="18" customHeight="1">
      <c r="A27" s="802" t="s">
        <v>1882</v>
      </c>
      <c r="B27" s="783" t="s">
        <v>684</v>
      </c>
      <c r="C27" s="53"/>
      <c r="D27" s="260" t="s">
        <v>685</v>
      </c>
      <c r="E27" s="1978"/>
      <c r="F27" s="56"/>
      <c r="G27" s="1589"/>
      <c r="H27" s="796" t="s">
        <v>1829</v>
      </c>
      <c r="I27" s="3007" t="s">
        <v>2822</v>
      </c>
      <c r="J27" s="798">
        <f ca="1">J7-J18</f>
        <v>0</v>
      </c>
      <c r="K27" s="1975" t="s">
        <v>700</v>
      </c>
      <c r="L27" s="1977"/>
      <c r="M27" s="819"/>
    </row>
    <row r="28" spans="1:25" ht="18" customHeight="1">
      <c r="A28" s="802" t="s">
        <v>1876</v>
      </c>
      <c r="B28" s="783" t="s">
        <v>2438</v>
      </c>
      <c r="C28" s="53">
        <f ca="1">ROUND((C21+C22)*F28,0)</f>
        <v>0</v>
      </c>
      <c r="D28" s="811" t="s">
        <v>701</v>
      </c>
      <c r="E28" s="794" t="s">
        <v>702</v>
      </c>
      <c r="F28" s="793">
        <f ca="1">INDIRECT("'数据-取费表'!q"&amp;$G$1)</f>
        <v>0</v>
      </c>
      <c r="G28" s="1589"/>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89"/>
      <c r="H29" s="785"/>
      <c r="I29" s="786"/>
      <c r="J29" s="787"/>
      <c r="K29" s="820" t="s">
        <v>707</v>
      </c>
      <c r="L29" s="783" t="s">
        <v>708</v>
      </c>
      <c r="M29" s="821">
        <f ca="1">INDIRECT("'数据-取费表'!ag"&amp;$G$1)</f>
        <v>0</v>
      </c>
    </row>
    <row r="30" spans="1:25" s="2060" customFormat="1" ht="18" customHeight="1">
      <c r="A30" s="802" t="s">
        <v>1883</v>
      </c>
      <c r="B30" s="783" t="s">
        <v>687</v>
      </c>
      <c r="C30" s="53">
        <f>ROUND(F30/(1+'数据-取费表'!C42),4)</f>
        <v>5.33E-2</v>
      </c>
      <c r="D30" s="811" t="s">
        <v>709</v>
      </c>
      <c r="E30" s="783" t="s">
        <v>649</v>
      </c>
      <c r="F30" s="808">
        <f>'数据-取费表'!B41</f>
        <v>5.6000000000000001E-2</v>
      </c>
      <c r="G30" s="1590"/>
      <c r="H30" s="789"/>
      <c r="I30" s="790"/>
      <c r="J30" s="791"/>
      <c r="K30" s="815"/>
      <c r="L30" s="783" t="s">
        <v>710</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2" t="s">
        <v>1873</v>
      </c>
      <c r="I31" s="3008" t="s">
        <v>2824</v>
      </c>
      <c r="J31" s="824">
        <f ca="1">ROUND(J28/(1+F45)^F46,0)</f>
        <v>0</v>
      </c>
      <c r="K31" s="825" t="s">
        <v>688</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1">
        <f ca="1">ROUND(C33+C38+C39+C40,0)</f>
        <v>0</v>
      </c>
      <c r="D32" s="1817" t="s">
        <v>652</v>
      </c>
      <c r="E32" s="2483"/>
      <c r="F32" s="2487"/>
      <c r="G32" s="2058"/>
      <c r="H32" s="2061"/>
      <c r="I32" s="2062"/>
      <c r="J32" s="2063"/>
      <c r="K32" s="2064"/>
      <c r="L32" s="2065"/>
      <c r="M32" s="2066"/>
    </row>
    <row r="33" spans="1:18" ht="18" customHeight="1">
      <c r="A33" s="802" t="s">
        <v>1877</v>
      </c>
      <c r="B33" s="783" t="s">
        <v>656</v>
      </c>
      <c r="C33" s="53">
        <f ca="1">ROUND(IF(项目基本情况!B11="自然人",C7*F33,C34+C35+C36),1)</f>
        <v>0</v>
      </c>
      <c r="D33" s="1975" t="s">
        <v>657</v>
      </c>
      <c r="E33" s="1973" t="s">
        <v>690</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1876</v>
      </c>
      <c r="B34" s="783" t="s">
        <v>660</v>
      </c>
      <c r="C34" s="53">
        <f ca="1">ROUND(C7*F34/1.05,1)</f>
        <v>0</v>
      </c>
      <c r="D34" s="1973" t="s">
        <v>661</v>
      </c>
      <c r="E34" s="783" t="s">
        <v>649</v>
      </c>
      <c r="F34" s="808">
        <f>'数据-取费表'!B41</f>
        <v>5.6000000000000001E-2</v>
      </c>
      <c r="G34" s="2058"/>
      <c r="H34" s="2067"/>
      <c r="I34" s="2068"/>
      <c r="J34" s="2069"/>
      <c r="K34" s="2070"/>
      <c r="L34" s="2071"/>
      <c r="M34" s="2072"/>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58"/>
      <c r="H35" s="2073"/>
      <c r="I35" s="2073"/>
      <c r="J35" s="2073"/>
      <c r="K35" s="2074"/>
      <c r="L35" s="2073"/>
      <c r="M35" s="2073"/>
    </row>
    <row r="36" spans="1:18" ht="18" customHeight="1">
      <c r="A36" s="812" t="s">
        <v>1881</v>
      </c>
      <c r="B36" s="340" t="s">
        <v>668</v>
      </c>
      <c r="C36" s="54">
        <f ca="1">ROUND(F36*F37/10000,1)</f>
        <v>0</v>
      </c>
      <c r="D36" s="813" t="s">
        <v>669</v>
      </c>
      <c r="E36" s="783" t="s">
        <v>670</v>
      </c>
      <c r="F36" s="639">
        <f>'数据-取费表'!B52</f>
        <v>25</v>
      </c>
      <c r="G36" s="2058"/>
      <c r="H36" s="2061"/>
      <c r="I36" s="3478"/>
      <c r="J36" s="2075"/>
      <c r="K36" s="2076"/>
      <c r="L36" s="2075"/>
      <c r="M36" s="2075"/>
    </row>
    <row r="37" spans="1:18" ht="18" customHeight="1">
      <c r="A37" s="814"/>
      <c r="B37" s="792"/>
      <c r="C37" s="69"/>
      <c r="D37" s="815"/>
      <c r="E37" s="783" t="s">
        <v>674</v>
      </c>
      <c r="F37" s="784">
        <f ca="1">INDIRECT("'数据-取费表'!r"&amp;$G$1)</f>
        <v>0</v>
      </c>
      <c r="G37" s="2058"/>
      <c r="H37" s="2061"/>
      <c r="I37" s="3478"/>
      <c r="J37" s="2073"/>
      <c r="K37" s="2074"/>
      <c r="L37" s="2073"/>
      <c r="M37" s="2073"/>
    </row>
    <row r="38" spans="1:18" ht="18" customHeight="1">
      <c r="A38" s="802" t="s">
        <v>1878</v>
      </c>
      <c r="B38" s="783" t="s">
        <v>676</v>
      </c>
      <c r="C38" s="53">
        <f ca="1">ROUND(C31*F38,1)</f>
        <v>0</v>
      </c>
      <c r="D38" s="1973" t="s">
        <v>691</v>
      </c>
      <c r="E38" s="783" t="s">
        <v>649</v>
      </c>
      <c r="F38" s="816">
        <f ca="1">INDIRECT("'数据-取费表'!Ak"&amp;$G$1)</f>
        <v>0</v>
      </c>
      <c r="G38" s="2058"/>
      <c r="H38" s="2073"/>
      <c r="I38" s="2077"/>
      <c r="J38" s="1984"/>
      <c r="K38" s="2078"/>
      <c r="L38" s="2073"/>
      <c r="M38" s="2073"/>
    </row>
    <row r="39" spans="1:18" ht="18" customHeight="1">
      <c r="A39" s="802" t="s">
        <v>1879</v>
      </c>
      <c r="B39" s="783" t="s">
        <v>679</v>
      </c>
      <c r="C39" s="53">
        <f ca="1">ROUND(C15*F39,1)</f>
        <v>0</v>
      </c>
      <c r="D39" s="1973" t="s">
        <v>680</v>
      </c>
      <c r="E39" s="783" t="s">
        <v>649</v>
      </c>
      <c r="F39" s="817">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2" t="s">
        <v>1877</v>
      </c>
      <c r="B42" s="834" t="s">
        <v>693</v>
      </c>
      <c r="C42" s="828">
        <f ca="1">C7-C32</f>
        <v>0</v>
      </c>
      <c r="D42" s="1975" t="s">
        <v>694</v>
      </c>
      <c r="E42" s="1977"/>
      <c r="F42" s="819"/>
      <c r="G42" s="2058"/>
      <c r="H42" s="2058"/>
      <c r="I42" s="2058"/>
      <c r="J42" s="2058"/>
      <c r="K42" s="2079"/>
      <c r="L42" s="2058"/>
      <c r="M42" s="2058"/>
    </row>
    <row r="43" spans="1:18" ht="18" customHeight="1">
      <c r="A43" s="802" t="s">
        <v>1878</v>
      </c>
      <c r="B43" s="834" t="s">
        <v>711</v>
      </c>
      <c r="C43" s="835">
        <f ca="1">ROUND(C15*F43,0)</f>
        <v>0</v>
      </c>
      <c r="D43" s="1354" t="s">
        <v>712</v>
      </c>
      <c r="E43" s="3115" t="s">
        <v>2953</v>
      </c>
      <c r="F43" s="3116">
        <f ca="1">INDIRECT("'数据-取费表'!j"&amp;$G$1)</f>
        <v>0</v>
      </c>
      <c r="G43" s="2058"/>
      <c r="H43" s="2058"/>
      <c r="I43" s="2058"/>
      <c r="J43" s="2058"/>
      <c r="K43" s="2079"/>
      <c r="L43" s="2058"/>
      <c r="M43" s="2058"/>
    </row>
    <row r="44" spans="1:18" ht="18" customHeight="1">
      <c r="A44" s="802" t="s">
        <v>1879</v>
      </c>
      <c r="B44" s="834" t="s">
        <v>713</v>
      </c>
      <c r="C44" s="1355">
        <f ca="1">C42-C43</f>
        <v>0</v>
      </c>
      <c r="D44" s="462" t="s">
        <v>714</v>
      </c>
      <c r="E44" s="463"/>
      <c r="F44" s="464"/>
      <c r="G44" s="2058"/>
      <c r="H44" s="2058"/>
      <c r="I44" s="2058"/>
      <c r="J44" s="2058"/>
      <c r="K44" s="2079"/>
      <c r="L44" s="2058"/>
      <c r="M44" s="2058"/>
    </row>
    <row r="45" spans="1:18" ht="18" customHeight="1">
      <c r="A45" s="802" t="s">
        <v>1880</v>
      </c>
      <c r="B45" s="1354" t="s">
        <v>715</v>
      </c>
      <c r="C45" s="3033">
        <f ca="1">ROUND(-PV(F45,F46,C44,0),0)</f>
        <v>0</v>
      </c>
      <c r="D45" s="1356" t="s">
        <v>716</v>
      </c>
      <c r="E45" s="805" t="s">
        <v>717</v>
      </c>
      <c r="F45" s="829">
        <f ca="1">INDIRECT("'数据-取费表'!h"&amp;$G$1)</f>
        <v>0</v>
      </c>
      <c r="G45" s="2058"/>
      <c r="H45" s="2058"/>
      <c r="I45" s="2058"/>
      <c r="J45" s="2058"/>
      <c r="K45" s="2079"/>
      <c r="L45" s="2058"/>
      <c r="M45" s="2058"/>
    </row>
    <row r="46" spans="1:18" ht="18" customHeight="1" thickBot="1">
      <c r="A46" s="830"/>
      <c r="B46" s="1357"/>
      <c r="C46" s="1358"/>
      <c r="D46" s="1359"/>
      <c r="E46" s="3117" t="s">
        <v>2956</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3" t="str">
        <f ca="1">IF(M48="住宅",0,IF(L49&gt;J52,L61,J61))</f>
        <v>0</v>
      </c>
      <c r="O47" s="2390" t="s">
        <v>2410</v>
      </c>
      <c r="P47" s="1589"/>
      <c r="Q47" s="1601"/>
      <c r="R47" s="1589"/>
    </row>
    <row r="48" spans="1:18" s="2055" customFormat="1" ht="18" customHeight="1" thickBot="1">
      <c r="A48" s="2080"/>
      <c r="C48" s="2083"/>
      <c r="D48" s="2084"/>
      <c r="E48" s="2084"/>
      <c r="F48" s="2085"/>
      <c r="G48" s="2086"/>
      <c r="I48" s="3143" t="s">
        <v>2344</v>
      </c>
      <c r="J48" s="2377"/>
      <c r="K48" s="3150" t="s">
        <v>2349</v>
      </c>
      <c r="L48" s="3154">
        <f ca="1">INDIRECT("'数据-取费表'!d"&amp;$G$1)</f>
        <v>0</v>
      </c>
      <c r="M48" s="3114"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9" t="s">
        <v>2345</v>
      </c>
      <c r="J49" s="2378"/>
      <c r="K49" s="3151"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9" t="s">
        <v>2346</v>
      </c>
      <c r="J50" s="2379"/>
      <c r="K50" s="3152"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9" t="s">
        <v>2347</v>
      </c>
      <c r="J51" s="3147">
        <f>SUMPRODUCT((I64:I66=J48)*(J63:L63=J49)*(J64:L66))</f>
        <v>0</v>
      </c>
      <c r="K51" s="3152" t="s">
        <v>2353</v>
      </c>
      <c r="L51" s="2380"/>
      <c r="O51" s="2397" t="s">
        <v>2383</v>
      </c>
      <c r="P51" s="2395" t="s">
        <v>2407</v>
      </c>
      <c r="Q51" s="2396">
        <f ca="1">C31</f>
        <v>0</v>
      </c>
      <c r="R51" s="2395" t="s">
        <v>2380</v>
      </c>
    </row>
    <row r="52" spans="1:18" s="2055" customFormat="1" ht="18" customHeight="1" thickBot="1">
      <c r="A52" s="2092"/>
      <c r="F52" s="2081"/>
      <c r="I52" s="3144" t="s">
        <v>2348</v>
      </c>
      <c r="J52" s="3148">
        <f>IF(J50="",J51,J50+J51-YEAR('数据-取费表'!B3))</f>
        <v>0</v>
      </c>
      <c r="K52" s="3119" t="s">
        <v>2354</v>
      </c>
      <c r="L52" s="3155">
        <f ca="1">ROUND(-PV(INDIRECT("'数据-取费表'!h"&amp;$G$1),L49,(C40-C14*J36),0),0)</f>
        <v>0</v>
      </c>
      <c r="O52" s="2397" t="s">
        <v>2384</v>
      </c>
      <c r="P52" s="2395" t="s">
        <v>2385</v>
      </c>
      <c r="Q52" s="2398" t="e">
        <f ca="1">J59</f>
        <v>#VALUE!</v>
      </c>
      <c r="R52" s="2399"/>
    </row>
    <row r="53" spans="1:18" s="2055" customFormat="1" ht="18" customHeight="1" thickBot="1">
      <c r="A53" s="2092"/>
      <c r="F53" s="2081"/>
      <c r="I53" s="3145" t="s">
        <v>2421</v>
      </c>
      <c r="J53" s="2381"/>
      <c r="K53" s="3145" t="s">
        <v>2420</v>
      </c>
      <c r="L53" s="2381"/>
      <c r="O53" s="2397" t="s">
        <v>2386</v>
      </c>
      <c r="P53" s="2395" t="s">
        <v>2387</v>
      </c>
      <c r="Q53" s="2398">
        <f>J53</f>
        <v>0</v>
      </c>
      <c r="R53" s="2399"/>
    </row>
    <row r="54" spans="1:18" s="2055" customFormat="1" ht="29.25" thickBot="1">
      <c r="A54" s="2092"/>
      <c r="I54" s="3146" t="s">
        <v>2970</v>
      </c>
      <c r="J54" s="3149">
        <f ca="1">IF(M48="住宅",MAX(J52,L49-'数据-取费表'!B20),MIN(J52,L49-'数据-取费表'!B20))</f>
        <v>-1.5</v>
      </c>
      <c r="K54" s="3483"/>
      <c r="L54" s="3484"/>
      <c r="O54" s="2397" t="s">
        <v>2388</v>
      </c>
      <c r="P54" s="2395" t="s">
        <v>2389</v>
      </c>
      <c r="Q54" s="2396">
        <f ca="1">J54</f>
        <v>-1.5</v>
      </c>
      <c r="R54" s="2395" t="s">
        <v>2390</v>
      </c>
    </row>
    <row r="55" spans="1:18" s="2055" customFormat="1" ht="18" customHeight="1" thickBot="1">
      <c r="A55" s="2092"/>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4" t="s">
        <v>2391</v>
      </c>
      <c r="P55" s="2395" t="s">
        <v>2408</v>
      </c>
      <c r="Q55" s="2396">
        <f ca="1">Q49+Q50</f>
        <v>0</v>
      </c>
      <c r="R55" s="2399" t="s">
        <v>2392</v>
      </c>
    </row>
    <row r="56" spans="1:18" s="2055" customFormat="1" ht="16.5" thickBot="1">
      <c r="A56" s="2092"/>
      <c r="B56" s="2093"/>
      <c r="C56" s="2093"/>
      <c r="I56" s="3158" t="s">
        <v>2355</v>
      </c>
      <c r="J56" s="3094" t="e">
        <f ca="1">ROUND(IF(J48="钢混",J58/J51,1-(1-2%)*(J51-J58)/J51),3)</f>
        <v>#VALUE!</v>
      </c>
      <c r="K56" s="3159" t="s">
        <v>2356</v>
      </c>
      <c r="L56" s="2382"/>
      <c r="O56" s="2400" t="s">
        <v>2411</v>
      </c>
      <c r="P56" s="1589"/>
      <c r="Q56" s="1601"/>
      <c r="R56" s="1589"/>
    </row>
    <row r="57" spans="1:18" s="2055" customFormat="1" ht="43.5" thickBot="1">
      <c r="A57" s="2092"/>
      <c r="B57" s="2093"/>
      <c r="C57" s="2093"/>
      <c r="I57" s="3160" t="s">
        <v>2357</v>
      </c>
      <c r="J57" s="3170" t="s">
        <v>1679</v>
      </c>
      <c r="K57" s="3119" t="s">
        <v>2362</v>
      </c>
      <c r="L57" s="1904">
        <f ca="1">IF(L49&lt;J52,"——",L49-J52)</f>
        <v>0</v>
      </c>
      <c r="O57" s="2391" t="s">
        <v>2375</v>
      </c>
      <c r="P57" s="2392" t="s">
        <v>2376</v>
      </c>
      <c r="Q57" s="2393" t="s">
        <v>2377</v>
      </c>
      <c r="R57" s="2392" t="s">
        <v>2378</v>
      </c>
    </row>
    <row r="58" spans="1:18" s="2055" customFormat="1" ht="29.25" thickBot="1">
      <c r="A58" s="2092"/>
      <c r="B58" s="2093"/>
      <c r="C58" s="2093"/>
      <c r="I58" s="3161" t="s">
        <v>2358</v>
      </c>
      <c r="J58" s="3162" t="str">
        <f ca="1">IF(OR(M48="住宅",J52&lt;L49,J57="是"),"——",J52-L49)</f>
        <v>——</v>
      </c>
      <c r="K58" s="3119"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1" t="s">
        <v>2359</v>
      </c>
      <c r="J59" s="3095" t="e">
        <f ca="1">IF(J56&lt;0.4,0.4,J56)</f>
        <v>#VALUE!</v>
      </c>
      <c r="K59" s="3119"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1" t="s">
        <v>2360</v>
      </c>
      <c r="J60" s="3162" t="str">
        <f ca="1">IF(OR(M48="住宅",J52&lt;L49,J57="是"),"——",ROUND(C30*J59,0))</f>
        <v>——</v>
      </c>
      <c r="K60" s="3119"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3" t="s">
        <v>2361</v>
      </c>
      <c r="J61" s="3164" t="str">
        <f ca="1">IF(OR(M48="住宅",J52&lt;L49,J57="是"),"0",ROUND(J60/(1+J53)^J54,0))</f>
        <v>0</v>
      </c>
      <c r="K61" s="3165" t="s">
        <v>2366</v>
      </c>
      <c r="L61" s="3164"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6" t="s">
        <v>2367</v>
      </c>
      <c r="J63" s="3167" t="s">
        <v>2368</v>
      </c>
      <c r="K63" s="3167" t="s">
        <v>2369</v>
      </c>
      <c r="L63" s="3167" t="s">
        <v>2350</v>
      </c>
      <c r="M63" s="3168" t="s">
        <v>2933</v>
      </c>
      <c r="O63" s="2397" t="s">
        <v>2388</v>
      </c>
      <c r="P63" s="2395" t="s">
        <v>2396</v>
      </c>
      <c r="Q63" s="2396">
        <f ca="1">L60</f>
        <v>0</v>
      </c>
      <c r="R63" s="2399" t="s">
        <v>2397</v>
      </c>
    </row>
    <row r="64" spans="1:18" s="2055" customFormat="1" ht="15.75" thickBot="1">
      <c r="A64" s="2092"/>
      <c r="B64" s="2093"/>
      <c r="C64" s="2093"/>
      <c r="I64" s="3166" t="s">
        <v>2370</v>
      </c>
      <c r="J64" s="3167">
        <v>70</v>
      </c>
      <c r="K64" s="3167">
        <v>50</v>
      </c>
      <c r="L64" s="3167">
        <v>80</v>
      </c>
      <c r="M64" s="3169">
        <v>0.02</v>
      </c>
      <c r="O64" s="2394" t="s">
        <v>2391</v>
      </c>
      <c r="P64" s="2395" t="s">
        <v>2408</v>
      </c>
      <c r="Q64" s="2396" t="e">
        <f ca="1">Q58+Q59</f>
        <v>#DIV/0!</v>
      </c>
      <c r="R64" s="2399" t="s">
        <v>2392</v>
      </c>
    </row>
    <row r="65" spans="1:18" s="2055" customFormat="1" ht="16.5" thickBot="1">
      <c r="A65" s="2092"/>
      <c r="B65" s="2093"/>
      <c r="C65" s="2093"/>
      <c r="I65" s="3166" t="s">
        <v>2371</v>
      </c>
      <c r="J65" s="3167">
        <v>50</v>
      </c>
      <c r="K65" s="3167">
        <v>35</v>
      </c>
      <c r="L65" s="3167">
        <v>60</v>
      </c>
      <c r="M65" s="845">
        <v>0</v>
      </c>
      <c r="O65" s="2400" t="s">
        <v>2415</v>
      </c>
      <c r="P65" s="1589"/>
      <c r="Q65" s="1601"/>
      <c r="R65" s="1589"/>
    </row>
    <row r="66" spans="1:18" s="2055" customFormat="1" ht="15.75" thickBot="1">
      <c r="A66" s="2092"/>
      <c r="B66" s="2093"/>
      <c r="C66" s="2093"/>
      <c r="I66" s="3166" t="s">
        <v>2372</v>
      </c>
      <c r="J66" s="3167">
        <v>40</v>
      </c>
      <c r="K66" s="3167">
        <v>30</v>
      </c>
      <c r="L66" s="3167">
        <v>50</v>
      </c>
      <c r="M66" s="3169">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91" t="s">
        <v>2576</v>
      </c>
      <c r="C1" s="3491"/>
      <c r="D1" s="3491"/>
      <c r="E1" s="3491"/>
      <c r="F1" s="3491"/>
      <c r="G1" s="3490" t="s">
        <v>2577</v>
      </c>
      <c r="H1" s="3490"/>
      <c r="I1" s="3490"/>
      <c r="J1" s="3490"/>
      <c r="K1" s="3490"/>
      <c r="L1" s="3490"/>
      <c r="N1" s="3490" t="s">
        <v>2578</v>
      </c>
      <c r="O1" s="3490"/>
      <c r="P1" s="3490"/>
      <c r="Q1" s="3490"/>
      <c r="R1" s="2650"/>
      <c r="S1" s="3490" t="s">
        <v>2579</v>
      </c>
      <c r="T1" s="3490"/>
      <c r="U1" s="3490"/>
      <c r="V1" s="3490"/>
      <c r="X1" s="3489" t="s">
        <v>2639</v>
      </c>
      <c r="Y1" s="3490"/>
      <c r="Z1" s="3490"/>
      <c r="AA1" s="3490"/>
      <c r="AB1" s="3490"/>
      <c r="AD1" s="3489" t="s">
        <v>2643</v>
      </c>
      <c r="AE1" s="3490"/>
      <c r="AF1" s="3490"/>
      <c r="AG1" s="3490"/>
      <c r="AH1" s="3490"/>
    </row>
    <row r="2" spans="1:34" s="2752" customFormat="1" ht="14.25" thickBot="1">
      <c r="B2" s="2760" t="s">
        <v>2580</v>
      </c>
      <c r="C2" s="2760" t="s">
        <v>2641</v>
      </c>
      <c r="D2" s="2753" t="s">
        <v>1645</v>
      </c>
      <c r="E2" s="2753" t="s">
        <v>1952</v>
      </c>
      <c r="F2" s="2760" t="s">
        <v>2642</v>
      </c>
      <c r="G2" s="2756"/>
      <c r="H2" s="2755"/>
      <c r="I2" s="2760" t="s">
        <v>2947</v>
      </c>
      <c r="J2" s="2753" t="s">
        <v>2949</v>
      </c>
      <c r="K2" s="2753" t="s">
        <v>2950</v>
      </c>
      <c r="L2" s="2760" t="s">
        <v>2951</v>
      </c>
      <c r="N2" s="2760" t="s">
        <v>2580</v>
      </c>
      <c r="O2" s="2753" t="s">
        <v>2948</v>
      </c>
      <c r="P2" s="2753" t="s">
        <v>1952</v>
      </c>
      <c r="Q2" s="2760" t="s">
        <v>2642</v>
      </c>
      <c r="R2" s="2754"/>
      <c r="S2" s="2760" t="s">
        <v>2580</v>
      </c>
      <c r="T2" s="2753" t="s">
        <v>2948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7" customFormat="1" ht="14.25">
      <c r="A3" s="3139" t="s">
        <v>2960</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5" customFormat="1" ht="14.25">
      <c r="B4" s="2746"/>
      <c r="C4" s="2746"/>
      <c r="D4" s="2747"/>
      <c r="E4" s="2747"/>
      <c r="F4" s="2746"/>
      <c r="G4" s="2751"/>
      <c r="H4" s="2748"/>
      <c r="I4" s="3120"/>
      <c r="J4" s="3120"/>
      <c r="K4" s="3120"/>
      <c r="L4" s="3120"/>
      <c r="N4" s="2751"/>
      <c r="O4" s="2749"/>
      <c r="P4" s="2749"/>
      <c r="Q4" s="2749"/>
      <c r="R4" s="2749"/>
      <c r="S4" s="2751"/>
      <c r="T4" s="2749"/>
      <c r="U4" s="2749"/>
      <c r="V4" s="2749"/>
      <c r="W4" s="3136"/>
      <c r="X4" s="2750"/>
      <c r="Y4" s="2750"/>
      <c r="Z4" s="2750"/>
      <c r="AA4" s="2750"/>
      <c r="AB4" s="2750"/>
      <c r="AD4" s="2670"/>
      <c r="AE4" s="2670"/>
      <c r="AF4" s="2670"/>
      <c r="AG4" s="2670"/>
      <c r="AH4" s="2670"/>
    </row>
    <row r="5" spans="1:34" s="3108" customFormat="1">
      <c r="A5" s="3106" t="s">
        <v>2971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07">
        <v>3</v>
      </c>
      <c r="I5" s="3121">
        <v>1.49</v>
      </c>
      <c r="J5" s="3121">
        <v>0.96</v>
      </c>
      <c r="K5" s="3121">
        <v>1.58</v>
      </c>
      <c r="L5" s="3121">
        <v>2.44</v>
      </c>
      <c r="N5" s="2758">
        <f t="shared" ref="N5" si="6">I5/100</f>
        <v>1.49E-2</v>
      </c>
      <c r="O5" s="2758">
        <f t="shared" ref="O5" si="7">J5/100</f>
        <v>9.5999999999999992E-3</v>
      </c>
      <c r="P5" s="2758">
        <f t="shared" ref="P5" si="8">K5/100</f>
        <v>1.5800000000000002E-2</v>
      </c>
      <c r="Q5" s="2758">
        <f t="shared" ref="Q5" si="9">L5/100</f>
        <v>2.4399999999999998E-2</v>
      </c>
      <c r="R5" s="3109"/>
      <c r="S5" s="3110"/>
      <c r="T5" s="3109"/>
      <c r="U5" s="3109"/>
      <c r="V5" s="3109"/>
      <c r="W5" s="3137" t="s">
        <v>2961</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7" customFormat="1" ht="13.5" thickBot="1">
      <c r="A6" s="2651" t="s">
        <v>2972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6"/>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2967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6"/>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2958</v>
      </c>
      <c r="B8" s="3141">
        <v>439</v>
      </c>
      <c r="C8" s="3141">
        <v>327</v>
      </c>
      <c r="D8" s="3141">
        <f t="shared" si="23"/>
        <v>327</v>
      </c>
      <c r="E8" s="3141">
        <v>627</v>
      </c>
      <c r="F8" s="3142">
        <v>283</v>
      </c>
      <c r="G8" s="3124">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2962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6"/>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5"/>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6"/>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488">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86"/>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486"/>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487"/>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485">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86"/>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486"/>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487"/>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485">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86"/>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486"/>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487"/>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492">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93"/>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493"/>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494"/>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485">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486"/>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486"/>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487"/>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485">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86">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486">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487">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485">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86">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486">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487">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485">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86">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486">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487">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485">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86">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486">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487">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485">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86">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486">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487">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485">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86">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486">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487">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485">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86">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486">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487">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485">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86">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486">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487">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485">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486">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486">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487">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485">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486">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486">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487">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500" t="s">
        <v>2472</v>
      </c>
      <c r="B2" s="3501" t="s">
        <v>2473</v>
      </c>
      <c r="C2" s="3501"/>
      <c r="D2" s="2503" t="s">
        <v>2474</v>
      </c>
      <c r="E2" s="2503" t="s">
        <v>2475</v>
      </c>
      <c r="F2" s="2503" t="s">
        <v>2476</v>
      </c>
      <c r="G2" s="2503" t="s">
        <v>2477</v>
      </c>
      <c r="H2" s="2503" t="s">
        <v>2478</v>
      </c>
      <c r="I2" s="2504" t="s">
        <v>2479</v>
      </c>
    </row>
    <row r="3" spans="1:9">
      <c r="A3" s="3500"/>
      <c r="B3" s="3501" t="s">
        <v>2480</v>
      </c>
      <c r="C3" s="3501"/>
      <c r="D3" s="2505"/>
      <c r="E3" s="2503"/>
      <c r="F3" s="2506"/>
      <c r="G3" s="2506"/>
      <c r="H3" s="2507"/>
      <c r="I3" s="2508">
        <f>ROUND(D3*E3*F3*G3*H3/10000,0)</f>
        <v>0</v>
      </c>
    </row>
    <row r="4" spans="1:9">
      <c r="A4" s="3500"/>
      <c r="B4" s="3501" t="s">
        <v>2481</v>
      </c>
      <c r="C4" s="3501"/>
      <c r="D4" s="2505"/>
      <c r="E4" s="2503"/>
      <c r="F4" s="2506"/>
      <c r="G4" s="2506"/>
      <c r="H4" s="2507"/>
      <c r="I4" s="2508">
        <f t="shared" ref="I4:I9" si="0">ROUND(D4*E4*F4*G4*H4/10000,0)</f>
        <v>0</v>
      </c>
    </row>
    <row r="5" spans="1:9">
      <c r="A5" s="3500"/>
      <c r="B5" s="3501" t="s">
        <v>2482</v>
      </c>
      <c r="C5" s="3501"/>
      <c r="D5" s="2505"/>
      <c r="E5" s="2503"/>
      <c r="F5" s="2506"/>
      <c r="G5" s="2506"/>
      <c r="H5" s="2507"/>
      <c r="I5" s="2508">
        <f t="shared" si="0"/>
        <v>0</v>
      </c>
    </row>
    <row r="6" spans="1:9">
      <c r="A6" s="3500"/>
      <c r="B6" s="3501" t="s">
        <v>2483</v>
      </c>
      <c r="C6" s="3501"/>
      <c r="D6" s="2505"/>
      <c r="E6" s="2503"/>
      <c r="F6" s="2506"/>
      <c r="G6" s="2506"/>
      <c r="H6" s="2507"/>
      <c r="I6" s="2508">
        <f t="shared" si="0"/>
        <v>0</v>
      </c>
    </row>
    <row r="7" spans="1:9">
      <c r="A7" s="3500"/>
      <c r="B7" s="3501" t="s">
        <v>2484</v>
      </c>
      <c r="C7" s="3501"/>
      <c r="D7" s="2505"/>
      <c r="E7" s="2503"/>
      <c r="F7" s="2506"/>
      <c r="G7" s="2506"/>
      <c r="H7" s="2507"/>
      <c r="I7" s="2508">
        <f t="shared" si="0"/>
        <v>0</v>
      </c>
    </row>
    <row r="8" spans="1:9">
      <c r="A8" s="3500"/>
      <c r="B8" s="3501" t="s">
        <v>2485</v>
      </c>
      <c r="C8" s="3501"/>
      <c r="D8" s="2505"/>
      <c r="E8" s="2503"/>
      <c r="F8" s="2506"/>
      <c r="G8" s="2506"/>
      <c r="H8" s="2507"/>
      <c r="I8" s="2508">
        <f t="shared" si="0"/>
        <v>0</v>
      </c>
    </row>
    <row r="9" spans="1:9">
      <c r="A9" s="3500"/>
      <c r="B9" s="3501" t="s">
        <v>2486</v>
      </c>
      <c r="C9" s="3501"/>
      <c r="D9" s="2505"/>
      <c r="E9" s="2503"/>
      <c r="F9" s="2506"/>
      <c r="G9" s="2506"/>
      <c r="H9" s="2507"/>
      <c r="I9" s="2508">
        <f t="shared" si="0"/>
        <v>0</v>
      </c>
    </row>
    <row r="10" spans="1:9">
      <c r="A10" s="3500"/>
      <c r="B10" s="3502" t="s">
        <v>2487</v>
      </c>
      <c r="C10" s="3502"/>
      <c r="D10" s="2509">
        <v>527</v>
      </c>
      <c r="E10" s="2509" t="e">
        <f>ROUND(D1*10000/D10/H9,0)</f>
        <v>#DIV/0!</v>
      </c>
      <c r="F10" s="2510"/>
      <c r="G10" s="2510"/>
      <c r="H10" s="2511"/>
      <c r="I10" s="2512">
        <f>SUM(I3:I9)</f>
        <v>0</v>
      </c>
    </row>
    <row r="11" spans="1:9" ht="14.25">
      <c r="A11" s="3500" t="s">
        <v>2488</v>
      </c>
      <c r="B11" s="3501" t="s">
        <v>2489</v>
      </c>
      <c r="C11" s="3501"/>
      <c r="D11" s="2505" t="s">
        <v>2490</v>
      </c>
      <c r="E11" s="2505" t="s">
        <v>2491</v>
      </c>
      <c r="F11" s="2506" t="s">
        <v>2492</v>
      </c>
      <c r="G11" s="2506" t="s">
        <v>2493</v>
      </c>
      <c r="H11" s="2513" t="s">
        <v>2494</v>
      </c>
      <c r="I11" s="2504" t="s">
        <v>2495</v>
      </c>
    </row>
    <row r="12" spans="1:9">
      <c r="A12" s="3500"/>
      <c r="B12" s="3501" t="s">
        <v>2496</v>
      </c>
      <c r="C12" s="3501"/>
      <c r="D12" s="2505"/>
      <c r="E12" s="2505"/>
      <c r="F12" s="2506"/>
      <c r="G12" s="2507"/>
      <c r="H12" s="2514"/>
      <c r="I12" s="2504">
        <f>ROUND(D12*E12*F12*G12/10000,0)</f>
        <v>0</v>
      </c>
    </row>
    <row r="13" spans="1:9">
      <c r="A13" s="3500"/>
      <c r="B13" s="3501" t="s">
        <v>2497</v>
      </c>
      <c r="C13" s="3501"/>
      <c r="D13" s="2505"/>
      <c r="E13" s="2505"/>
      <c r="F13" s="2506"/>
      <c r="G13" s="2507"/>
      <c r="H13" s="2514"/>
      <c r="I13" s="2504">
        <f>ROUND(D13*E13*F13*G13/10000,0)</f>
        <v>0</v>
      </c>
    </row>
    <row r="14" spans="1:9">
      <c r="A14" s="3500"/>
      <c r="B14" s="3501" t="s">
        <v>2498</v>
      </c>
      <c r="C14" s="3501"/>
      <c r="D14" s="2505"/>
      <c r="E14" s="2505"/>
      <c r="F14" s="2506"/>
      <c r="G14" s="2507"/>
      <c r="H14" s="2514"/>
      <c r="I14" s="2504">
        <f>ROUND(D14*E14*F14*G14/10000,0)</f>
        <v>0</v>
      </c>
    </row>
    <row r="15" spans="1:9">
      <c r="A15" s="3500"/>
      <c r="B15" s="3502" t="s">
        <v>2487</v>
      </c>
      <c r="C15" s="3502"/>
      <c r="D15" s="2509"/>
      <c r="E15" s="2509">
        <f>SUM(E12:E14)</f>
        <v>0</v>
      </c>
      <c r="F15" s="2510"/>
      <c r="G15" s="2507"/>
      <c r="H15" s="2514"/>
      <c r="I15" s="2515">
        <f>SUM(I12:I14)</f>
        <v>0</v>
      </c>
    </row>
    <row r="16" spans="1:9" ht="24">
      <c r="A16" s="3500" t="s">
        <v>2499</v>
      </c>
      <c r="B16" s="3501" t="s">
        <v>2500</v>
      </c>
      <c r="C16" s="3501"/>
      <c r="D16" s="2505" t="s">
        <v>2501</v>
      </c>
      <c r="E16" s="2516" t="s">
        <v>2502</v>
      </c>
      <c r="F16" s="2506" t="s">
        <v>2503</v>
      </c>
      <c r="G16" s="2507" t="s">
        <v>2493</v>
      </c>
      <c r="H16" s="2513" t="s">
        <v>2494</v>
      </c>
      <c r="I16" s="2504" t="s">
        <v>2495</v>
      </c>
    </row>
    <row r="17" spans="1:9" ht="14.25">
      <c r="A17" s="3500"/>
      <c r="B17" s="3501" t="s">
        <v>2504</v>
      </c>
      <c r="C17" s="3501"/>
      <c r="D17" s="2505"/>
      <c r="E17" s="2505"/>
      <c r="F17" s="2506"/>
      <c r="G17" s="2507"/>
      <c r="H17" s="2517"/>
      <c r="I17" s="2518">
        <f>ROUND(D17*E17*F17*G17/10000,0)</f>
        <v>0</v>
      </c>
    </row>
    <row r="18" spans="1:9" ht="14.25">
      <c r="A18" s="3500"/>
      <c r="B18" s="3501" t="s">
        <v>2505</v>
      </c>
      <c r="C18" s="3501"/>
      <c r="D18" s="2505"/>
      <c r="E18" s="2505"/>
      <c r="F18" s="2506"/>
      <c r="G18" s="2507"/>
      <c r="H18" s="2517"/>
      <c r="I18" s="2518">
        <f>ROUND(D18*E18*F18*G18/10000,0)</f>
        <v>0</v>
      </c>
    </row>
    <row r="19" spans="1:9" ht="14.25">
      <c r="A19" s="3500"/>
      <c r="B19" s="3501" t="s">
        <v>2506</v>
      </c>
      <c r="C19" s="3501"/>
      <c r="D19" s="2505"/>
      <c r="E19" s="2505"/>
      <c r="F19" s="2506"/>
      <c r="G19" s="2507"/>
      <c r="H19" s="2517"/>
      <c r="I19" s="2518">
        <f>ROUND(D19*E19*F19*G19/10000,0)</f>
        <v>0</v>
      </c>
    </row>
    <row r="20" spans="1:9">
      <c r="A20" s="3500"/>
      <c r="B20" s="3502" t="s">
        <v>2487</v>
      </c>
      <c r="C20" s="3502"/>
      <c r="D20" s="2509">
        <f>SUM(D17:D19)</f>
        <v>0</v>
      </c>
      <c r="E20" s="2509"/>
      <c r="F20" s="2510"/>
      <c r="G20" s="2507"/>
      <c r="H20" s="2514"/>
      <c r="I20" s="2515">
        <f>SUM(I17:I19)</f>
        <v>0</v>
      </c>
    </row>
    <row r="21" spans="1:9">
      <c r="A21" s="3500" t="s">
        <v>2507</v>
      </c>
      <c r="B21" s="3504"/>
      <c r="C21" s="3504"/>
      <c r="D21" s="3504"/>
      <c r="E21" s="3504"/>
      <c r="F21" s="3504"/>
      <c r="G21" s="3504"/>
      <c r="H21" s="2519">
        <v>0.1</v>
      </c>
      <c r="I21" s="2512">
        <f>ROUND(I10*H21,0)</f>
        <v>0</v>
      </c>
    </row>
    <row r="22" spans="1:9" ht="14.25">
      <c r="A22" s="3505" t="s">
        <v>2508</v>
      </c>
      <c r="B22" s="3506"/>
      <c r="C22" s="3507"/>
      <c r="D22" s="2520" t="s">
        <v>2509</v>
      </c>
      <c r="E22" s="2520" t="s">
        <v>2510</v>
      </c>
      <c r="F22" s="2521" t="s">
        <v>2511</v>
      </c>
      <c r="G22" s="2521" t="s">
        <v>2512</v>
      </c>
      <c r="H22" s="2513" t="s">
        <v>2513</v>
      </c>
      <c r="I22" s="2504" t="s">
        <v>2514</v>
      </c>
    </row>
    <row r="23" spans="1:9" ht="14.25" thickBot="1">
      <c r="A23" s="3508"/>
      <c r="B23" s="3509"/>
      <c r="C23" s="3510"/>
      <c r="D23" s="2522"/>
      <c r="E23" s="2522"/>
      <c r="F23" s="2522"/>
      <c r="G23" s="2523"/>
      <c r="H23" s="2524"/>
      <c r="I23" s="2525">
        <f>ROUND(E23*D23*F23*(1-G23)/10000,0)</f>
        <v>0</v>
      </c>
    </row>
    <row r="26" spans="1:9">
      <c r="A26" s="2526" t="s">
        <v>2515</v>
      </c>
      <c r="B26" s="2526"/>
      <c r="C26" s="2526"/>
      <c r="D26" s="2526"/>
      <c r="E26" s="3511">
        <f>C27-C30-C31-C32</f>
        <v>0</v>
      </c>
      <c r="F26" s="3511"/>
      <c r="G26" s="3511"/>
      <c r="H26" s="3039" t="s">
        <v>2843</v>
      </c>
    </row>
    <row r="27" spans="1:9">
      <c r="A27" s="2527">
        <v>1</v>
      </c>
      <c r="B27" s="2528" t="s">
        <v>2516</v>
      </c>
      <c r="C27" s="2528"/>
      <c r="D27" s="2528"/>
      <c r="E27" s="3512"/>
      <c r="F27" s="3512"/>
      <c r="G27" s="3512"/>
    </row>
    <row r="28" spans="1:9">
      <c r="A28" s="2529" t="s">
        <v>2517</v>
      </c>
      <c r="B28" s="2528" t="s">
        <v>2518</v>
      </c>
      <c r="C28" s="2528"/>
      <c r="D28" s="2528"/>
      <c r="E28" s="3512"/>
      <c r="F28" s="3512"/>
      <c r="G28" s="3512"/>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503"/>
      <c r="F32" s="3503"/>
      <c r="G32" s="3503"/>
    </row>
    <row r="33" spans="1:7" hidden="1">
      <c r="A33" s="3513" t="s">
        <v>2526</v>
      </c>
      <c r="B33" s="3514"/>
      <c r="C33" s="3514"/>
      <c r="D33" s="3515"/>
      <c r="E33" s="3511"/>
      <c r="F33" s="3511"/>
      <c r="G33" s="3511"/>
    </row>
    <row r="34" spans="1:7" hidden="1">
      <c r="A34" s="2531">
        <v>1</v>
      </c>
      <c r="B34" s="2528" t="s">
        <v>2527</v>
      </c>
      <c r="C34" s="2528"/>
      <c r="D34" s="2528"/>
      <c r="E34" s="3512"/>
      <c r="F34" s="3512"/>
      <c r="G34" s="3512"/>
    </row>
    <row r="35" spans="1:7" hidden="1">
      <c r="A35" s="2531">
        <v>2</v>
      </c>
      <c r="B35" s="2528" t="s">
        <v>2528</v>
      </c>
      <c r="C35" s="2528"/>
      <c r="D35" s="2528"/>
      <c r="E35" s="3512"/>
      <c r="F35" s="3512"/>
      <c r="G35" s="3512"/>
    </row>
    <row r="36" spans="1:7" hidden="1">
      <c r="A36" s="2531">
        <v>3</v>
      </c>
      <c r="B36" s="2528" t="s">
        <v>2529</v>
      </c>
      <c r="C36" s="2528"/>
      <c r="D36" s="2528"/>
      <c r="E36" s="3512"/>
      <c r="F36" s="3512"/>
      <c r="G36" s="3512"/>
    </row>
    <row r="37" spans="1:7" hidden="1">
      <c r="A37" s="2531">
        <v>4</v>
      </c>
      <c r="B37" s="2528" t="s">
        <v>2530</v>
      </c>
      <c r="C37" s="2528"/>
      <c r="D37" s="2528"/>
      <c r="E37" s="3512"/>
      <c r="F37" s="3512"/>
      <c r="G37" s="3512"/>
    </row>
    <row r="38" spans="1:7" hidden="1">
      <c r="A38" s="3513" t="s">
        <v>2531</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56.25">
      <c r="A7" s="1791" t="s">
        <v>2747</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2932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18.75">
      <c r="A21" s="1787" t="s">
        <v>2075</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0012297号]证载土地终止日期为住宅2088年1月18日、地上商业2058年1月18日地下车库2068年1月18日。截至估价期日，出让国有建设用地使用权剩余土地使用年限为住宅69.5年、地下商业39.5年、地下车库49.5年。</v>
      </c>
    </row>
    <row r="23" spans="1:1" ht="37.5">
      <c r="A23" s="1787" t="str">
        <f>IF(项目基本情况!B16="出让","本次评估设定估价对象剩余土地使用年限为"&amp;项目基本情况!D20&amp;"。","")</f>
        <v>本次评估设定估价对象剩余土地使用年限为住宅69.5年、地下商业39.5年、地下车库49.5年。</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603</v>
      </c>
      <c r="B1" s="741"/>
      <c r="C1" s="2178"/>
      <c r="D1" s="2178"/>
      <c r="E1" s="2178"/>
      <c r="F1" s="2178"/>
      <c r="G1" s="2104"/>
    </row>
    <row r="2" spans="1:25" s="2055" customFormat="1" ht="18" customHeight="1">
      <c r="A2" s="422" t="s">
        <v>467</v>
      </c>
      <c r="B2" s="424">
        <f ca="1">C23</f>
        <v>538</v>
      </c>
      <c r="C2" s="2104"/>
      <c r="D2" s="2104"/>
      <c r="E2" s="2104"/>
      <c r="F2" s="2104"/>
      <c r="G2" s="2104"/>
    </row>
    <row r="3" spans="1:25" s="2055" customFormat="1" ht="18" customHeight="1">
      <c r="A3" s="1376" t="s">
        <v>1686</v>
      </c>
      <c r="B3" s="424">
        <f ca="1">ROUND(B2*10000/'数据-汇总表'!E3,0)</f>
        <v>93</v>
      </c>
      <c r="C3" s="2104"/>
      <c r="D3" s="2104"/>
      <c r="E3" s="2104"/>
      <c r="F3" s="2104"/>
      <c r="G3" s="2104"/>
    </row>
    <row r="4" spans="1:25" s="2055" customFormat="1" ht="18" customHeight="1">
      <c r="A4" s="425" t="s">
        <v>468</v>
      </c>
      <c r="B4" s="426">
        <f ca="1">ROUND(B2*10000/'数据-汇总表'!D3,0)</f>
        <v>300</v>
      </c>
      <c r="C4" s="2057"/>
      <c r="D4" s="2104"/>
      <c r="E4" s="2104"/>
      <c r="F4" s="2104"/>
      <c r="G4" s="2104"/>
    </row>
    <row r="5" spans="1:25" s="2055" customFormat="1" ht="18" customHeight="1" thickBot="1">
      <c r="A5" s="428"/>
      <c r="B5" s="429">
        <f ca="1">ROUND(B2/('数据-汇总表'!D3/666.67),0)</f>
        <v>20</v>
      </c>
      <c r="C5" s="430" t="s">
        <v>469</v>
      </c>
      <c r="D5" s="2104"/>
      <c r="E5" s="2104"/>
      <c r="F5" s="2104"/>
      <c r="G5" s="2104"/>
    </row>
    <row r="6" spans="1:25" s="2179" customFormat="1" ht="13.5" customHeight="1">
      <c r="A6" s="742"/>
      <c r="B6" s="743" t="s">
        <v>604</v>
      </c>
      <c r="C6" s="744" t="s">
        <v>605</v>
      </c>
      <c r="D6" s="744" t="s">
        <v>606</v>
      </c>
      <c r="E6" s="745" t="s">
        <v>607</v>
      </c>
      <c r="F6" s="745" t="s">
        <v>608</v>
      </c>
      <c r="G6" s="746"/>
    </row>
    <row r="7" spans="1:25" s="2179" customFormat="1" ht="13.5" customHeight="1">
      <c r="A7" s="2465">
        <v>1</v>
      </c>
      <c r="B7" s="747" t="s">
        <v>609</v>
      </c>
      <c r="C7" s="748">
        <f>C8+C9</f>
        <v>0</v>
      </c>
      <c r="D7" s="748"/>
      <c r="E7" s="749"/>
      <c r="F7" s="749"/>
      <c r="G7" s="2475"/>
    </row>
    <row r="8" spans="1:25" s="2179" customFormat="1" ht="13.5" customHeight="1">
      <c r="A8" s="2465" t="s">
        <v>2440</v>
      </c>
      <c r="B8" s="2468" t="s">
        <v>2442</v>
      </c>
      <c r="C8" s="2469"/>
      <c r="D8" s="748"/>
      <c r="E8" s="749"/>
      <c r="F8" s="749"/>
      <c r="G8" s="750"/>
    </row>
    <row r="9" spans="1:25" s="2179" customFormat="1" ht="13.5" customHeight="1">
      <c r="A9" s="2465" t="s">
        <v>2441</v>
      </c>
      <c r="B9" s="2468" t="s">
        <v>2443</v>
      </c>
      <c r="C9" s="2469"/>
      <c r="D9" s="748"/>
      <c r="E9" s="749"/>
      <c r="F9" s="749"/>
      <c r="G9" s="750"/>
    </row>
    <row r="10" spans="1:25" s="2179" customFormat="1" ht="36">
      <c r="A10" s="2465">
        <v>2</v>
      </c>
      <c r="B10" s="747" t="s">
        <v>613</v>
      </c>
      <c r="C10" s="748">
        <f ca="1">C11+C14+C15</f>
        <v>562</v>
      </c>
      <c r="D10" s="759">
        <f>'数据-汇总表'!E3</f>
        <v>57683.92</v>
      </c>
      <c r="E10" s="748">
        <f>'数据-取费表'!B31</f>
        <v>170</v>
      </c>
      <c r="F10" s="760"/>
      <c r="G10" s="758" t="s">
        <v>614</v>
      </c>
    </row>
    <row r="11" spans="1:25" s="2179" customFormat="1" ht="13.5" customHeight="1">
      <c r="A11" s="2465" t="s">
        <v>2440</v>
      </c>
      <c r="B11" s="751" t="s">
        <v>610</v>
      </c>
      <c r="C11" s="752">
        <f ca="1">'数据-取费表'!B29</f>
        <v>562</v>
      </c>
      <c r="D11" s="753"/>
      <c r="E11" s="752"/>
      <c r="F11" s="754"/>
      <c r="G11" s="2474" t="s">
        <v>2451</v>
      </c>
    </row>
    <row r="12" spans="1:25" s="2179" customFormat="1" ht="13.5" customHeight="1">
      <c r="A12" s="2472" t="s">
        <v>2448</v>
      </c>
      <c r="B12" s="755" t="s">
        <v>611</v>
      </c>
      <c r="C12" s="756">
        <f>ROUND(D12*E12/10000,0)</f>
        <v>195</v>
      </c>
      <c r="D12" s="757">
        <f>'数据-汇总表'!E5</f>
        <v>24312.92</v>
      </c>
      <c r="E12" s="756">
        <f>'数据-取费表'!B27</f>
        <v>80</v>
      </c>
      <c r="F12" s="754"/>
      <c r="G12" s="758"/>
    </row>
    <row r="13" spans="1:25" s="2179" customFormat="1" ht="13.5" customHeight="1">
      <c r="A13" s="2472" t="s">
        <v>2447</v>
      </c>
      <c r="B13" s="755" t="s">
        <v>612</v>
      </c>
      <c r="C13" s="756">
        <f>ROUND(D13*E13/10000,0)</f>
        <v>367</v>
      </c>
      <c r="D13" s="757">
        <f>'数据-汇总表'!E6</f>
        <v>33371</v>
      </c>
      <c r="E13" s="756">
        <f>'数据-取费表'!B28</f>
        <v>110</v>
      </c>
      <c r="F13" s="754"/>
      <c r="G13" s="758"/>
    </row>
    <row r="14" spans="1:25" s="2179" customFormat="1" ht="13.5" customHeight="1">
      <c r="A14" s="2465" t="s">
        <v>2441</v>
      </c>
      <c r="B14" s="2471" t="s">
        <v>2444</v>
      </c>
      <c r="C14" s="2469"/>
      <c r="D14" s="757"/>
      <c r="E14" s="756"/>
      <c r="F14" s="2470"/>
      <c r="G14" s="2473" t="s">
        <v>2449</v>
      </c>
    </row>
    <row r="15" spans="1:25" s="2179" customFormat="1" ht="13.5" customHeight="1">
      <c r="A15" s="2465" t="s">
        <v>2446</v>
      </c>
      <c r="B15" s="2471" t="s">
        <v>2445</v>
      </c>
      <c r="C15" s="2469"/>
      <c r="D15" s="757"/>
      <c r="E15" s="756"/>
      <c r="F15" s="2470"/>
      <c r="G15" s="2473" t="s">
        <v>2450</v>
      </c>
    </row>
    <row r="16" spans="1:25" s="2180" customFormat="1" ht="48">
      <c r="A16" s="2465">
        <v>3</v>
      </c>
      <c r="B16" s="747" t="s">
        <v>615</v>
      </c>
      <c r="C16" s="2469"/>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7" t="s">
        <v>616</v>
      </c>
      <c r="C17" s="256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7" t="s">
        <v>617</v>
      </c>
      <c r="C18" s="748">
        <f ca="1">ROUND((C7+C10+C16)*F18,0)</f>
        <v>39</v>
      </c>
      <c r="D18" s="761"/>
      <c r="E18" s="762"/>
      <c r="F18" s="760">
        <f>'数据-取费表'!Q16</f>
        <v>7.0000000000000007E-2</v>
      </c>
      <c r="G18" s="764"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7" t="s">
        <v>619</v>
      </c>
      <c r="C19" s="748">
        <f ca="1">C7+C10+C16+C17+C18</f>
        <v>601</v>
      </c>
      <c r="D19" s="759"/>
      <c r="E19" s="748"/>
      <c r="F19" s="760"/>
      <c r="G19" s="764"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7" t="s">
        <v>621</v>
      </c>
      <c r="C20" s="748">
        <f ca="1">ROUND(C19*F20,0)</f>
        <v>0</v>
      </c>
      <c r="D20" s="759"/>
      <c r="E20" s="748"/>
      <c r="F20" s="1347"/>
      <c r="G20" s="764"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7" t="s">
        <v>623</v>
      </c>
      <c r="C21" s="748">
        <f ca="1">C19+C20</f>
        <v>601</v>
      </c>
      <c r="D21" s="759"/>
      <c r="E21" s="748"/>
      <c r="F21" s="760"/>
      <c r="G21" s="764"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7" t="s">
        <v>625</v>
      </c>
      <c r="C22" s="748">
        <f ca="1">ROUND(C21*F22,0)</f>
        <v>538</v>
      </c>
      <c r="D22" s="759"/>
      <c r="E22" s="748"/>
      <c r="F22" s="765">
        <f>'数据-取费表'!AP16</f>
        <v>0.89600000000000002</v>
      </c>
      <c r="G22" s="764"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6" t="s">
        <v>627</v>
      </c>
      <c r="C23" s="767">
        <f ca="1">C22</f>
        <v>538</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1">
        <f>MATCH(B1,'数据-取费表'!A6:A16,0)+5</f>
        <v>10</v>
      </c>
    </row>
    <row r="2" spans="1:31" s="2037" customFormat="1" ht="18" customHeight="1">
      <c r="A2" s="2097" t="s">
        <v>467</v>
      </c>
      <c r="B2" s="2101">
        <f ca="1">C36</f>
        <v>100536</v>
      </c>
      <c r="C2" s="2100"/>
      <c r="D2" s="2100"/>
      <c r="E2" s="2100"/>
      <c r="F2" s="2100"/>
      <c r="G2" s="2100"/>
      <c r="H2" s="2100"/>
      <c r="I2" s="2100"/>
      <c r="J2" s="2100"/>
      <c r="K2" s="2100"/>
    </row>
    <row r="3" spans="1:31" s="2037" customFormat="1" ht="18" customHeight="1">
      <c r="A3" s="2102" t="s">
        <v>1685</v>
      </c>
      <c r="B3" s="2103">
        <f ca="1">ROUND(B2*10000/IF(B1="",'数据-汇总表'!E3,INDIRECT("'数据-取费表'!K"&amp;$K$1)),0)</f>
        <v>17429</v>
      </c>
      <c r="C3" s="2100"/>
      <c r="D3" s="2100"/>
      <c r="E3" s="2100"/>
      <c r="F3" s="2100"/>
      <c r="G3" s="2100"/>
      <c r="H3" s="2100"/>
      <c r="I3" s="2100"/>
      <c r="J3" s="2100"/>
      <c r="K3" s="2100"/>
    </row>
    <row r="4" spans="1:31" s="2037" customFormat="1" ht="18" customHeight="1">
      <c r="A4" s="425" t="s">
        <v>468</v>
      </c>
      <c r="B4" s="426">
        <f ca="1">ROUND(B2*10000/IF(B1="",'数据-汇总表'!D3,INDIRECT("'数据-取费表'!R"&amp;$K$1)),0)</f>
        <v>56140</v>
      </c>
      <c r="C4" s="427"/>
      <c r="D4" s="421"/>
      <c r="E4" s="421"/>
      <c r="F4" s="421"/>
      <c r="G4" s="421"/>
      <c r="H4" s="421"/>
      <c r="I4" s="421"/>
      <c r="J4" s="421"/>
      <c r="K4" s="421"/>
    </row>
    <row r="5" spans="1:31" s="2037" customFormat="1" ht="18" customHeight="1" thickBot="1">
      <c r="A5" s="428"/>
      <c r="B5" s="429">
        <f ca="1">ROUND(B2/(IF(B1="",'数据-汇总表'!D3,INDIRECT("'数据-取费表'!R"&amp;$K$1))/666.67),0)</f>
        <v>3743</v>
      </c>
      <c r="C5" s="430" t="s">
        <v>469</v>
      </c>
      <c r="D5" s="421"/>
      <c r="E5" s="421"/>
      <c r="F5" s="421"/>
      <c r="G5" s="421"/>
      <c r="H5" s="421"/>
      <c r="I5" s="421"/>
      <c r="J5" s="421"/>
      <c r="K5" s="421"/>
    </row>
    <row r="6" spans="1:31" s="2107" customFormat="1" ht="16.5" customHeight="1">
      <c r="A6" s="2824" t="s">
        <v>1843</v>
      </c>
      <c r="B6" s="2825"/>
      <c r="C6" s="2826">
        <f ca="1">SUM(C10:K10)</f>
        <v>147983</v>
      </c>
      <c r="D6" s="2825"/>
      <c r="E6" s="2825"/>
      <c r="F6" s="2825"/>
      <c r="G6" s="2825"/>
      <c r="H6" s="2825"/>
      <c r="I6" s="2825"/>
      <c r="J6" s="2825"/>
      <c r="K6" s="2827"/>
    </row>
    <row r="7" spans="1:31" s="2109" customFormat="1" ht="15">
      <c r="A7" s="2828" t="s">
        <v>470</v>
      </c>
      <c r="B7" s="2829" t="s">
        <v>471</v>
      </c>
      <c r="C7" s="435" t="s">
        <v>3048</v>
      </c>
      <c r="D7" s="435" t="s">
        <v>3270</v>
      </c>
      <c r="E7" s="435" t="s">
        <v>35</v>
      </c>
      <c r="F7" s="435" t="s">
        <v>3322</v>
      </c>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1846</v>
      </c>
      <c r="B8" s="260" t="s">
        <v>472</v>
      </c>
      <c r="C8" s="2830">
        <f>'不动产比较法-平层住宅'!C48</f>
        <v>43742</v>
      </c>
      <c r="D8" s="2830">
        <f ca="1">不动产收益法!B3</f>
        <v>42953</v>
      </c>
      <c r="E8" s="2830">
        <f>'不动产比较法-车位'!B3</f>
        <v>10041</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1847</v>
      </c>
      <c r="B9" s="260" t="s">
        <v>473</v>
      </c>
      <c r="C9" s="440">
        <f>SUMIF('数据-汇总表'!$C19:$C33,'剩余法-待开发'!C7,'数据-汇总表'!$E19:$E33)</f>
        <v>24312.92</v>
      </c>
      <c r="D9" s="440">
        <f>SUMIF('数据-汇总表'!$C19:$C33,'剩余法-待开发'!D7,'数据-汇总表'!$E19:$E33)</f>
        <v>3000</v>
      </c>
      <c r="E9" s="440">
        <f>SUMIF('数据-汇总表'!$C19:$C33,'剩余法-待开发'!E7,'数据-汇总表'!$E19:$E33)</f>
        <v>28630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f>(C10+F10)/(C9+F9)</f>
        <v>4.374217494237632</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'不动产比较法-平层住宅'!B2</f>
        <v>106350</v>
      </c>
      <c r="D10" s="3024">
        <f ca="1">不动产收益法!B2</f>
        <v>12886</v>
      </c>
      <c r="E10" s="3024">
        <f>'不动产比较法-车位'!B2</f>
        <v>28747</v>
      </c>
      <c r="F10" s="3024"/>
      <c r="G10" s="2833"/>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9">
        <f ca="1">IF(B1="",'数据-取费表'!P16,INDIRECT("'数据-取费表'!p"&amp;$K$1)+INDIRECT("'数据-取费表'!t"&amp;$K$1))</f>
        <v>14366</v>
      </c>
      <c r="D13" s="2840"/>
      <c r="E13" s="2841"/>
      <c r="F13" s="2842"/>
      <c r="G13" s="2808"/>
      <c r="H13" s="2809"/>
      <c r="I13" s="2809"/>
      <c r="J13" s="2809"/>
      <c r="K13" s="2810"/>
    </row>
    <row r="14" spans="1:31" s="2112" customFormat="1" ht="13.5" customHeight="1">
      <c r="A14" s="2838" t="s">
        <v>1850</v>
      </c>
      <c r="B14" s="2839" t="s">
        <v>480</v>
      </c>
      <c r="C14" s="53">
        <f ca="1">ROUND(C13*F14,0)</f>
        <v>431</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219</v>
      </c>
      <c r="D15" s="2840"/>
      <c r="E15" s="2841"/>
      <c r="F15" s="2843">
        <f>'数据-取费表'!B34</f>
        <v>0.03</v>
      </c>
      <c r="G15" s="2808" t="s">
        <v>483</v>
      </c>
      <c r="H15" s="2809"/>
      <c r="I15" s="2809"/>
      <c r="J15" s="2809"/>
      <c r="K15" s="2810"/>
    </row>
    <row r="16" spans="1:31" s="2113" customFormat="1" ht="13.5" customHeight="1">
      <c r="A16" s="2838" t="s">
        <v>1852</v>
      </c>
      <c r="B16" s="2839" t="s">
        <v>484</v>
      </c>
      <c r="C16" s="53">
        <f ca="1">ROUND(D16*E16/10000,0)</f>
        <v>1154</v>
      </c>
      <c r="D16" s="2840">
        <f ca="1">IF(B1="",'数据-汇总表'!E3,INDIRECT("'数据-取费表'!K"&amp;$K$1)+INDIRECT("'数据-取费表'!S"&amp;$K$1))</f>
        <v>57683.92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215</v>
      </c>
      <c r="D17" s="474"/>
      <c r="E17" s="2844"/>
      <c r="F17" s="2845">
        <f>'数据-取费表'!B36</f>
        <v>1.4999999999999999E-2</v>
      </c>
      <c r="G17" s="260" t="s">
        <v>486</v>
      </c>
      <c r="H17" s="2811"/>
      <c r="I17" s="2811"/>
      <c r="J17" s="2811"/>
      <c r="K17" s="278"/>
    </row>
    <row r="18" spans="1:14" s="2112" customFormat="1" ht="13.5" customHeight="1">
      <c r="A18" s="2846" t="s">
        <v>1854</v>
      </c>
      <c r="B18" s="2847" t="s">
        <v>487</v>
      </c>
      <c r="C18" s="2848">
        <f ca="1">SUM(C13:C17)</f>
        <v>16385</v>
      </c>
      <c r="D18" s="2849"/>
      <c r="E18" s="467"/>
      <c r="F18" s="467"/>
      <c r="G18" s="2812" t="s">
        <v>2430</v>
      </c>
      <c r="H18" s="2813"/>
      <c r="I18" s="2813"/>
      <c r="J18" s="2813"/>
      <c r="K18" s="2814"/>
    </row>
    <row r="19" spans="1:14" s="2112" customFormat="1" ht="13.5" customHeight="1">
      <c r="A19" s="2846" t="s">
        <v>1855</v>
      </c>
      <c r="B19" s="2847" t="s">
        <v>488</v>
      </c>
      <c r="C19" s="2804">
        <f ca="1">ROUND(D19*E19/10000,0)</f>
        <v>173</v>
      </c>
      <c r="D19" s="2850">
        <f ca="1">D16</f>
        <v>57683.92</v>
      </c>
      <c r="E19" s="2804">
        <f>'数据-取费表'!B32</f>
        <v>30</v>
      </c>
      <c r="F19" s="467"/>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081" t="s">
        <v>3204</v>
      </c>
      <c r="H20" s="2806">
        <v>564</v>
      </c>
      <c r="I20" s="2807" t="s">
        <v>2651</v>
      </c>
      <c r="J20" s="2813"/>
      <c r="K20" s="2814"/>
    </row>
    <row r="21" spans="1:14" s="2112" customFormat="1" ht="13.5" customHeight="1">
      <c r="A21" s="2838" t="s">
        <v>1857</v>
      </c>
      <c r="B21" s="2839" t="s">
        <v>491</v>
      </c>
      <c r="C21" s="53">
        <f ca="1">ROUND(D21*E21/10000,0)</f>
        <v>195</v>
      </c>
      <c r="D21" s="2840">
        <f ca="1">IF(B1="",'数据-汇总表'!E5,IF(INDIRECT("'数据-取费表'!c"&amp;$K$1)="住宅",INDIRECT("'数据-取费表'!k"&amp;$K$1),0))</f>
        <v>24312.92</v>
      </c>
      <c r="E21" s="53">
        <f>'数据-取费表'!B27</f>
        <v>80</v>
      </c>
      <c r="F21" s="2843"/>
      <c r="G21" s="26"/>
      <c r="H21" s="51"/>
      <c r="I21" s="51"/>
      <c r="J21" s="51"/>
      <c r="K21" s="2815"/>
    </row>
    <row r="22" spans="1:14" s="2112" customFormat="1" ht="13.5" customHeight="1">
      <c r="A22" s="2838" t="s">
        <v>1858</v>
      </c>
      <c r="B22" s="2839" t="s">
        <v>492</v>
      </c>
      <c r="C22" s="53">
        <f ca="1">ROUND(D22*E22/10000,0)</f>
        <v>367</v>
      </c>
      <c r="D22" s="2840">
        <f ca="1">IF(B1="",'数据-汇总表'!E6,IF(INDIRECT("'数据-取费表'!c"&amp;$K$1)="住宅",INDIRECT("'数据-取费表'!s"&amp;$K$1),INDIRECT("'数据-取费表'!k"&amp;$K$1)+INDIRECT("'数据-取费表'!s"&amp;$K$1)))</f>
        <v>33371</v>
      </c>
      <c r="E22" s="53">
        <f>'数据-取费表'!B28</f>
        <v>110</v>
      </c>
      <c r="F22" s="2843"/>
      <c r="G22" s="26"/>
      <c r="H22" s="51"/>
      <c r="I22" s="51"/>
      <c r="J22" s="51"/>
      <c r="K22" s="2815"/>
    </row>
    <row r="23" spans="1:14" s="2112" customFormat="1" ht="13.5" customHeight="1">
      <c r="A23" s="2846" t="s">
        <v>1859</v>
      </c>
      <c r="B23" s="3030" t="s">
        <v>2834</v>
      </c>
      <c r="C23" s="2848">
        <f ca="1">ROUND((C18+C19+C20)*F23,0)</f>
        <v>331</v>
      </c>
      <c r="D23" s="467"/>
      <c r="E23" s="467"/>
      <c r="F23" s="2852">
        <f>'数据-取费表'!B37</f>
        <v>0.02</v>
      </c>
      <c r="G23" s="2808" t="s">
        <v>2431</v>
      </c>
      <c r="H23" s="2809"/>
      <c r="I23" s="2809"/>
      <c r="J23" s="2809"/>
      <c r="K23" s="2810"/>
      <c r="L23" s="2114"/>
      <c r="M23" s="2114"/>
      <c r="N23" s="2114"/>
    </row>
    <row r="24" spans="1:14" s="2112" customFormat="1" ht="13.5" customHeight="1">
      <c r="A24" s="2846" t="s">
        <v>1860</v>
      </c>
      <c r="B24" s="3030" t="s">
        <v>2837</v>
      </c>
      <c r="C24" s="2848">
        <f ca="1">ROUND(C6*F24,0)</f>
        <v>2960</v>
      </c>
      <c r="D24" s="474"/>
      <c r="E24" s="472"/>
      <c r="F24" s="2852">
        <f>'数据-取费表'!B38</f>
        <v>0.02</v>
      </c>
      <c r="G24" s="2817" t="s">
        <v>499</v>
      </c>
      <c r="H24" s="2811"/>
      <c r="I24" s="2811"/>
      <c r="J24" s="2811"/>
      <c r="K24" s="278"/>
      <c r="L24" s="2114"/>
      <c r="M24" s="2114"/>
      <c r="N24" s="2114"/>
    </row>
    <row r="25" spans="1:14" s="2115" customFormat="1" ht="13.5" customHeight="1">
      <c r="A25" s="2846" t="s">
        <v>1861</v>
      </c>
      <c r="B25" s="3030" t="s">
        <v>2835</v>
      </c>
      <c r="C25" s="466">
        <f>ROUND(F25/(1+'数据-取费表'!C42),4)</f>
        <v>2.9000000000000001E-2</v>
      </c>
      <c r="D25" s="461" t="s">
        <v>2829</v>
      </c>
      <c r="E25" s="468"/>
      <c r="F25" s="2852">
        <f>'数据-取费表'!B48+'数据-取费表'!B49</f>
        <v>3.0499999999999999E-2</v>
      </c>
      <c r="G25" s="2816" t="s">
        <v>2290</v>
      </c>
      <c r="H25" s="2809"/>
      <c r="I25" s="2809"/>
      <c r="J25" s="2809"/>
      <c r="K25" s="2810"/>
    </row>
    <row r="26" spans="1:14" s="2114" customFormat="1" ht="13.5" customHeight="1">
      <c r="A26" s="2846" t="s">
        <v>1862</v>
      </c>
      <c r="B26" s="3031" t="s">
        <v>2836</v>
      </c>
      <c r="C26" s="2853">
        <f ca="1">C28</f>
        <v>703</v>
      </c>
      <c r="D26" s="466">
        <f ca="1">C27</f>
        <v>7.4200000000000002E-2</v>
      </c>
      <c r="E26" s="468" t="s">
        <v>495</v>
      </c>
      <c r="F26" s="470">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2" t="s">
        <v>1857</v>
      </c>
      <c r="B27" s="2854" t="s">
        <v>496</v>
      </c>
      <c r="C27" s="2855">
        <f ca="1">ROUND(IF('数据-取费表'!B22&lt;=1,(1+C25)*F26*'数据-取费表'!B24,(1+C25)*(POWER((1+F26),'数据-取费表'!B24)-1)),4)</f>
        <v>7.4200000000000002E-2</v>
      </c>
      <c r="D27" s="471"/>
      <c r="E27" s="472"/>
      <c r="F27" s="473"/>
      <c r="G27" s="2568" t="str">
        <f>IF('数据-取费表'!B22&lt;=1,"（1+取得税费率/(1+5%)）×年利率×建设期","（1+取得税费率）/(1+5%)×((1+年利率)^建设期-1)")</f>
        <v>（1+取得税费率）/(1+5%)×((1+年利率)^建设期-1)</v>
      </c>
      <c r="H27" s="2811"/>
      <c r="I27" s="2811"/>
      <c r="J27" s="2811"/>
      <c r="K27" s="278"/>
    </row>
    <row r="28" spans="1:14" s="2116" customFormat="1" ht="13.5" customHeight="1">
      <c r="A28" s="802" t="s">
        <v>1858</v>
      </c>
      <c r="B28" s="2854" t="s">
        <v>2838</v>
      </c>
      <c r="C28" s="2856">
        <f ca="1">ROUND(IF('数据-取费表'!B22&lt;=1,(C18+C19+C20+C23+C24)*F26*'数据-取费表'!B24/2,(C18+C19+C20+C23+C24)*(POWER((1+F26),'数据-取费表'!B24/2)-1)),0)</f>
        <v>703</v>
      </c>
      <c r="D28" s="471"/>
      <c r="E28" s="472"/>
      <c r="F28" s="473"/>
      <c r="G28" s="2568" t="str">
        <f>IF('数据-取费表'!B22&lt;=1,"（1）-（4）项×年利率×建设期÷2","（1）-（4）项×((1+年利率)^(建设期÷2)-1)")</f>
        <v>（1）-（4）项×((1+年利率)^(建设期÷2)-1)</v>
      </c>
      <c r="H28" s="2811"/>
      <c r="I28" s="2811"/>
      <c r="J28" s="2811"/>
      <c r="K28" s="278"/>
    </row>
    <row r="29" spans="1:14" s="2116" customFormat="1" ht="13.5" customHeight="1">
      <c r="A29" s="2857" t="s">
        <v>1863</v>
      </c>
      <c r="B29" s="2847" t="s">
        <v>497</v>
      </c>
      <c r="C29" s="2848">
        <f ca="1">ROUND(C6*F29/(1+'数据-取费表'!C42),0)</f>
        <v>7892</v>
      </c>
      <c r="D29" s="467"/>
      <c r="E29" s="467"/>
      <c r="F29" s="3032">
        <f>'数据-取费表'!B41</f>
        <v>5.6000000000000001E-2</v>
      </c>
      <c r="G29" s="2817" t="s">
        <v>498</v>
      </c>
      <c r="H29" s="2809"/>
      <c r="I29" s="2809"/>
      <c r="J29" s="2809"/>
      <c r="K29" s="2810"/>
    </row>
    <row r="30" spans="1:14" s="2117" customFormat="1" ht="13.5" customHeight="1">
      <c r="A30" s="1632" t="s">
        <v>1864</v>
      </c>
      <c r="B30" s="2858" t="s">
        <v>500</v>
      </c>
      <c r="C30" s="2853">
        <f ca="1">C31</f>
        <v>28444</v>
      </c>
      <c r="D30" s="476">
        <f ca="1">C32</f>
        <v>0.1032</v>
      </c>
      <c r="E30" s="468" t="s">
        <v>495</v>
      </c>
      <c r="F30" s="470"/>
      <c r="G30" s="2816" t="s">
        <v>2963</v>
      </c>
      <c r="H30" s="2809"/>
      <c r="I30" s="2809"/>
      <c r="J30" s="2809"/>
      <c r="K30" s="2810"/>
    </row>
    <row r="31" spans="1:14" s="2116" customFormat="1" ht="13.5" customHeight="1">
      <c r="A31" s="802" t="s">
        <v>1857</v>
      </c>
      <c r="B31" s="2854"/>
      <c r="C31" s="449">
        <f ca="1">C18+C19+C20+C23+C24+C26+C29</f>
        <v>28444</v>
      </c>
      <c r="D31" s="471"/>
      <c r="E31" s="472"/>
      <c r="F31" s="473"/>
      <c r="G31" s="260"/>
      <c r="H31" s="2811"/>
      <c r="I31" s="2811"/>
      <c r="J31" s="2811"/>
      <c r="K31" s="278"/>
    </row>
    <row r="32" spans="1:14" s="2116" customFormat="1" ht="13.5" customHeight="1">
      <c r="A32" s="802" t="s">
        <v>1858</v>
      </c>
      <c r="B32" s="2854"/>
      <c r="C32" s="53">
        <f ca="1">ROUND(C25+D26,4)</f>
        <v>0.1032</v>
      </c>
      <c r="D32" s="471"/>
      <c r="E32" s="472"/>
      <c r="F32" s="473"/>
      <c r="G32" s="260"/>
      <c r="H32" s="2811"/>
      <c r="I32" s="2811"/>
      <c r="J32" s="2811"/>
      <c r="K32" s="278"/>
    </row>
    <row r="33" spans="1:11" s="2118" customFormat="1" ht="13.5" customHeight="1">
      <c r="A33" s="3029" t="s">
        <v>2833</v>
      </c>
      <c r="B33" s="3027" t="s">
        <v>2831</v>
      </c>
      <c r="C33" s="477">
        <f ca="1">C35</f>
        <v>1389</v>
      </c>
      <c r="D33" s="466">
        <f ca="1">C34</f>
        <v>7.1999999999999995E-2</v>
      </c>
      <c r="E33" s="468" t="s">
        <v>495</v>
      </c>
      <c r="F33" s="478">
        <f ca="1">IF(B1="",'数据-取费表'!Q16,INDIRECT("'数据-取费表'!q"&amp;$K$1))</f>
        <v>7.0000000000000007E-2</v>
      </c>
      <c r="G33" s="2812"/>
      <c r="H33" s="2813"/>
      <c r="I33" s="2813"/>
      <c r="J33" s="2813"/>
      <c r="K33" s="2814"/>
    </row>
    <row r="34" spans="1:11" s="2119" customFormat="1" ht="13.5" customHeight="1">
      <c r="A34" s="374" t="s">
        <v>1857</v>
      </c>
      <c r="B34" s="2859" t="s">
        <v>501</v>
      </c>
      <c r="C34" s="471">
        <f ca="1">ROUND((1+C25)*F33,4)</f>
        <v>7.1999999999999995E-2</v>
      </c>
      <c r="D34" s="471"/>
      <c r="E34" s="472"/>
      <c r="F34" s="479"/>
      <c r="G34" s="260" t="s">
        <v>2291</v>
      </c>
      <c r="H34" s="2811"/>
      <c r="I34" s="2811"/>
      <c r="J34" s="2811"/>
      <c r="K34" s="278"/>
    </row>
    <row r="35" spans="1:11" s="2119" customFormat="1" ht="13.5" customHeight="1" thickBot="1">
      <c r="A35" s="1633" t="s">
        <v>1858</v>
      </c>
      <c r="B35" s="3028" t="s">
        <v>2839</v>
      </c>
      <c r="C35" s="1625">
        <f ca="1">ROUND((C18+C19+C20+C23+C24)*F33,0)</f>
        <v>1389</v>
      </c>
      <c r="D35" s="1626"/>
      <c r="E35" s="2860"/>
      <c r="F35" s="1627"/>
      <c r="G35" s="2818"/>
      <c r="H35" s="2819"/>
      <c r="I35" s="2819"/>
      <c r="J35" s="2819"/>
      <c r="K35" s="2820"/>
    </row>
    <row r="36" spans="1:11" s="2081" customFormat="1" ht="13.5" customHeight="1" thickBot="1">
      <c r="A36" s="283" t="s">
        <v>1845</v>
      </c>
      <c r="B36" s="2822"/>
      <c r="C36" s="2861">
        <f ca="1">ROUND((C6-C30-C33)/(1+D30+D33),0)</f>
        <v>100536</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I47" sqref="I47:I48"/>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3048</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106350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43742</v>
      </c>
      <c r="C3" s="851" t="s">
        <v>722</v>
      </c>
      <c r="D3" s="850">
        <f>SUMIF('数据-汇总表'!$C19:$C33,D1,'数据-汇总表'!$E19:$E33)</f>
        <v>24312.92</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25" t="s">
        <v>3296</v>
      </c>
      <c r="D5" s="3424"/>
      <c r="E5" s="3520" t="s">
        <v>3330</v>
      </c>
      <c r="F5" s="3521"/>
      <c r="G5" s="3425" t="s">
        <v>3331</v>
      </c>
      <c r="H5" s="3424"/>
      <c r="I5" s="3425" t="s">
        <v>3329</v>
      </c>
      <c r="J5" s="3424"/>
      <c r="K5" s="853"/>
      <c r="L5" s="2129"/>
      <c r="M5" s="2130"/>
      <c r="N5" s="2130"/>
      <c r="O5" s="2130"/>
      <c r="P5" s="3411"/>
      <c r="Q5" s="3412"/>
      <c r="R5" s="3417"/>
      <c r="S5" s="3418"/>
      <c r="T5" s="3417"/>
      <c r="U5" s="3418"/>
      <c r="V5" s="3402"/>
      <c r="W5" s="3402"/>
      <c r="X5" s="1564"/>
      <c r="Y5" s="3417"/>
      <c r="Z5" s="3418"/>
      <c r="AA5" s="3405"/>
      <c r="AB5" s="3405"/>
      <c r="AC5" s="3405"/>
    </row>
    <row r="6" spans="1:29" ht="25.5" customHeight="1" thickBot="1">
      <c r="A6" s="516"/>
      <c r="B6" s="517"/>
      <c r="C6" s="3421"/>
      <c r="D6" s="3422"/>
      <c r="E6" s="3421"/>
      <c r="F6" s="3422"/>
      <c r="G6" s="3421"/>
      <c r="H6" s="3422"/>
      <c r="I6" s="3519"/>
      <c r="J6" s="3422"/>
      <c r="K6" s="85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SUMIF(58:58,YEAR(E7)&amp;"-"&amp;MONTH(E7),59:59)</f>
        <v>100</v>
      </c>
      <c r="G7" s="520">
        <f>C7</f>
        <v>43328</v>
      </c>
      <c r="H7" s="519">
        <f>SUMIF(58:58,YEAR(G7)&amp;"-"&amp;MONTH(G7),59:59)</f>
        <v>100</v>
      </c>
      <c r="I7" s="520">
        <f>C7</f>
        <v>43328</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75" thickBot="1">
      <c r="A11" s="2912"/>
      <c r="B11" s="2916" t="s">
        <v>2758</v>
      </c>
      <c r="C11" s="532">
        <v>2.2999999999999998</v>
      </c>
      <c r="D11" s="254">
        <v>100</v>
      </c>
      <c r="E11" s="533">
        <v>2.8</v>
      </c>
      <c r="F11" s="862">
        <f>LOOKUP(E11,68:68,69:69)-LOOKUP(C11,68:68,69:69)+100</f>
        <v>100</v>
      </c>
      <c r="G11" s="532">
        <v>3.5</v>
      </c>
      <c r="H11" s="254">
        <f>LOOKUP(G11,68:68,69:69)-LOOKUP(C11,68:68,69:69)+100</f>
        <v>95</v>
      </c>
      <c r="I11" s="532">
        <v>2.95</v>
      </c>
      <c r="J11" s="254">
        <f>LOOKUP(I11,68:68,69:69)-LOOKUP(C11,68:68,69:69)+100</f>
        <v>100</v>
      </c>
      <c r="K11" s="863">
        <v>5</v>
      </c>
      <c r="L11" s="2136"/>
      <c r="M11" s="2130"/>
      <c r="N11" s="2130"/>
      <c r="O11" s="2137"/>
      <c r="P11" s="3401"/>
      <c r="Q11" s="1149" t="str">
        <f t="shared" si="6"/>
        <v>容积率</v>
      </c>
      <c r="R11" s="1565" t="s">
        <v>11</v>
      </c>
      <c r="S11" s="1566">
        <f t="shared" si="0"/>
        <v>100</v>
      </c>
      <c r="T11" s="1565" t="s">
        <v>11</v>
      </c>
      <c r="U11" s="1566">
        <f t="shared" si="1"/>
        <v>95</v>
      </c>
      <c r="V11" s="1565" t="s">
        <v>11</v>
      </c>
      <c r="W11" s="1566">
        <f t="shared" si="2"/>
        <v>100</v>
      </c>
      <c r="X11" s="1567"/>
      <c r="Y11" s="3343"/>
      <c r="Z11" s="1148" t="str">
        <f t="shared" si="7"/>
        <v>容积率</v>
      </c>
      <c r="AA11" s="1568">
        <f t="shared" si="3"/>
        <v>1</v>
      </c>
      <c r="AB11" s="1568">
        <f t="shared" si="4"/>
        <v>1.0526315789473684</v>
      </c>
      <c r="AC11" s="1568">
        <f t="shared" si="5"/>
        <v>1</v>
      </c>
    </row>
    <row r="12" spans="1:29" s="1218" customFormat="1" ht="15" hidden="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1149">
        <f t="shared" si="6"/>
        <v>111</v>
      </c>
      <c r="R12" s="1565" t="s">
        <v>11</v>
      </c>
      <c r="S12" s="1566">
        <f t="shared" si="0"/>
        <v>100</v>
      </c>
      <c r="T12" s="1565" t="s">
        <v>11</v>
      </c>
      <c r="U12" s="1566">
        <f t="shared" si="1"/>
        <v>100</v>
      </c>
      <c r="V12" s="1565" t="s">
        <v>11</v>
      </c>
      <c r="W12" s="1566">
        <f t="shared" si="2"/>
        <v>100</v>
      </c>
      <c r="X12" s="1567"/>
      <c r="Y12" s="3343"/>
      <c r="Z12" s="1148">
        <f t="shared" si="7"/>
        <v>111</v>
      </c>
      <c r="AA12" s="1568">
        <f>D12/F12</f>
        <v>1</v>
      </c>
      <c r="AB12" s="1568">
        <f>D12/H12</f>
        <v>1</v>
      </c>
      <c r="AC12" s="1568">
        <f>D12/J12</f>
        <v>1</v>
      </c>
    </row>
    <row r="13" spans="1:29" ht="15" hidden="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1149">
        <f t="shared" si="6"/>
        <v>111</v>
      </c>
      <c r="R13" s="1565" t="s">
        <v>11</v>
      </c>
      <c r="S13" s="1566">
        <f t="shared" si="0"/>
        <v>100</v>
      </c>
      <c r="T13" s="1565" t="s">
        <v>11</v>
      </c>
      <c r="U13" s="1566">
        <f t="shared" si="1"/>
        <v>100</v>
      </c>
      <c r="V13" s="1565" t="s">
        <v>11</v>
      </c>
      <c r="W13" s="1566">
        <f t="shared" si="2"/>
        <v>100</v>
      </c>
      <c r="X13" s="1567"/>
      <c r="Y13" s="3343"/>
      <c r="Z13" s="1148">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1149">
        <f t="shared" si="6"/>
        <v>111</v>
      </c>
      <c r="R14" s="1565" t="s">
        <v>11</v>
      </c>
      <c r="S14" s="1566">
        <f t="shared" si="0"/>
        <v>100</v>
      </c>
      <c r="T14" s="1565" t="s">
        <v>11</v>
      </c>
      <c r="U14" s="1566">
        <f t="shared" si="1"/>
        <v>100</v>
      </c>
      <c r="V14" s="1565" t="s">
        <v>11</v>
      </c>
      <c r="W14" s="1566">
        <f t="shared" si="2"/>
        <v>100</v>
      </c>
      <c r="X14" s="1567"/>
      <c r="Y14" s="3343"/>
      <c r="Z14" s="1148">
        <f t="shared" si="7"/>
        <v>111</v>
      </c>
      <c r="AA14" s="1568">
        <f t="shared" si="3"/>
        <v>1</v>
      </c>
      <c r="AB14" s="1568">
        <f t="shared" si="4"/>
        <v>1</v>
      </c>
      <c r="AC14" s="1568">
        <f t="shared" si="5"/>
        <v>1</v>
      </c>
    </row>
    <row r="15" spans="1:29" ht="99.75">
      <c r="A15" s="2906" t="s">
        <v>2754</v>
      </c>
      <c r="B15" s="166" t="s">
        <v>295</v>
      </c>
      <c r="C15" s="866" t="str">
        <f>估价对象房地状况!C3</f>
        <v>估价对象周边居住用地比例较大、居住小区规模较大和社区发展完善程度好，综合评价居住社区成熟度好。</v>
      </c>
      <c r="D15" s="548">
        <v>100</v>
      </c>
      <c r="E15" s="3187" t="s">
        <v>3300</v>
      </c>
      <c r="F15" s="550">
        <f>SUMIF(76:76,E16,77:77)-SUMIF(76:76,C16,77:77)+100</f>
        <v>97</v>
      </c>
      <c r="G15" s="3189" t="s">
        <v>3298</v>
      </c>
      <c r="H15" s="548">
        <f>SUMIF(76:76,G16,77:77)-SUMIF(76:76,C16,77:77)+100</f>
        <v>97</v>
      </c>
      <c r="I15" s="3189" t="s">
        <v>3299</v>
      </c>
      <c r="J15" s="548">
        <f>SUMIF(76:76,I16,77:77)-SUMIF(76:76,C16,77:77)+100</f>
        <v>97</v>
      </c>
      <c r="K15" s="867">
        <v>3</v>
      </c>
      <c r="L15" s="2138"/>
      <c r="M15" s="2130"/>
      <c r="N15" s="2130"/>
      <c r="O15" s="2137"/>
      <c r="P15" s="3436" t="s">
        <v>540</v>
      </c>
      <c r="Q15" s="1569" t="str">
        <f t="shared" si="6"/>
        <v>居住社区成熟度</v>
      </c>
      <c r="R15" s="1570" t="s">
        <v>11</v>
      </c>
      <c r="S15" s="1571">
        <f t="shared" si="0"/>
        <v>97</v>
      </c>
      <c r="T15" s="1570" t="s">
        <v>11</v>
      </c>
      <c r="U15" s="1571">
        <f t="shared" si="1"/>
        <v>97</v>
      </c>
      <c r="V15" s="1570" t="s">
        <v>11</v>
      </c>
      <c r="W15" s="1571">
        <f t="shared" si="2"/>
        <v>97</v>
      </c>
      <c r="X15" s="1564"/>
      <c r="Y15" s="3436" t="s">
        <v>540</v>
      </c>
      <c r="Z15" s="1572" t="str">
        <f t="shared" si="7"/>
        <v>居住社区成熟度</v>
      </c>
      <c r="AA15" s="1573">
        <f t="shared" si="3"/>
        <v>1.0309278350515463</v>
      </c>
      <c r="AB15" s="1573">
        <f t="shared" si="4"/>
        <v>1.0309278350515463</v>
      </c>
      <c r="AC15" s="1573">
        <f t="shared" si="5"/>
        <v>1.0309278350515463</v>
      </c>
    </row>
    <row r="16" spans="1:29" ht="15">
      <c r="A16" s="531"/>
      <c r="B16" s="868"/>
      <c r="C16" s="575" t="s">
        <v>3021</v>
      </c>
      <c r="D16" s="554"/>
      <c r="E16" s="555" t="s">
        <v>3002</v>
      </c>
      <c r="F16" s="556"/>
      <c r="G16" s="557" t="s">
        <v>3002</v>
      </c>
      <c r="H16" s="558"/>
      <c r="I16" s="557" t="s">
        <v>3002</v>
      </c>
      <c r="J16" s="554"/>
      <c r="K16" s="869"/>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3188" t="s">
        <v>3302</v>
      </c>
      <c r="F17" s="562">
        <f>SUMIF(78:78,E18,79:79)-SUMIF(78:78,C18,79:79)+100</f>
        <v>98</v>
      </c>
      <c r="G17" s="561" t="s">
        <v>3306</v>
      </c>
      <c r="H17" s="564">
        <f>SUMIF(78:78,G18,79:79)-SUMIF(78:78,C18,79:79)+100</f>
        <v>100</v>
      </c>
      <c r="I17" s="3188" t="s">
        <v>3308</v>
      </c>
      <c r="J17" s="564">
        <f>SUMIF(78:78,I18,79:79)-SUMIF(78:78,C18,79:79)+100</f>
        <v>100</v>
      </c>
      <c r="K17" s="867">
        <v>2</v>
      </c>
      <c r="L17" s="2138"/>
      <c r="M17" s="2130"/>
      <c r="N17" s="2130"/>
      <c r="O17" s="2137"/>
      <c r="P17" s="3437"/>
      <c r="Q17" s="1569" t="str">
        <f>B17</f>
        <v>交通便捷度</v>
      </c>
      <c r="R17" s="1570" t="s">
        <v>11</v>
      </c>
      <c r="S17" s="1571">
        <f>F17</f>
        <v>98</v>
      </c>
      <c r="T17" s="1570" t="s">
        <v>11</v>
      </c>
      <c r="U17" s="1571">
        <f>H17</f>
        <v>100</v>
      </c>
      <c r="V17" s="1570" t="s">
        <v>11</v>
      </c>
      <c r="W17" s="1571">
        <f>J17</f>
        <v>100</v>
      </c>
      <c r="X17" s="1564"/>
      <c r="Y17" s="3437"/>
      <c r="Z17" s="1572" t="str">
        <f>Q17</f>
        <v>交通便捷度</v>
      </c>
      <c r="AA17" s="1573">
        <f t="shared" si="3"/>
        <v>1.0204081632653061</v>
      </c>
      <c r="AB17" s="1573">
        <f t="shared" si="4"/>
        <v>1</v>
      </c>
      <c r="AC17" s="1573">
        <f t="shared" si="5"/>
        <v>1</v>
      </c>
    </row>
    <row r="18" spans="1:29" ht="15">
      <c r="A18" s="531"/>
      <c r="B18" s="594"/>
      <c r="C18" s="872" t="s">
        <v>3002</v>
      </c>
      <c r="D18" s="558"/>
      <c r="E18" s="567" t="s">
        <v>3003</v>
      </c>
      <c r="F18" s="562"/>
      <c r="G18" s="568" t="s">
        <v>3002</v>
      </c>
      <c r="H18" s="554"/>
      <c r="I18" s="567" t="s">
        <v>3002</v>
      </c>
      <c r="J18" s="554"/>
      <c r="K18" s="869"/>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3311</v>
      </c>
      <c r="F19" s="570">
        <f>SUMIF(80:80,E20,81:81)-SUMIF(80:80,C20,81:81)+100</f>
        <v>98</v>
      </c>
      <c r="G19" s="569" t="s">
        <v>3303</v>
      </c>
      <c r="H19" s="558">
        <f>SUMIF(80:80,G20,81:81)-SUMIF(80:80,C20,81:81)+100</f>
        <v>98</v>
      </c>
      <c r="I19" s="3223" t="s">
        <v>3313</v>
      </c>
      <c r="J19" s="558">
        <f>SUMIF(80:80,I20,81:81)-SUMIF(80:80,C20,81:81)+100</f>
        <v>98</v>
      </c>
      <c r="K19" s="867">
        <v>2</v>
      </c>
      <c r="L19" s="2138"/>
      <c r="M19" s="2130"/>
      <c r="N19" s="2130"/>
      <c r="O19" s="2137"/>
      <c r="P19" s="3437"/>
      <c r="Q19" s="1569" t="str">
        <f>B19</f>
        <v>公共配套设施</v>
      </c>
      <c r="R19" s="1570" t="s">
        <v>11</v>
      </c>
      <c r="S19" s="1571">
        <f>F19</f>
        <v>98</v>
      </c>
      <c r="T19" s="1570" t="s">
        <v>11</v>
      </c>
      <c r="U19" s="1571">
        <f>H19</f>
        <v>98</v>
      </c>
      <c r="V19" s="1570" t="s">
        <v>11</v>
      </c>
      <c r="W19" s="1571">
        <f>J19</f>
        <v>98</v>
      </c>
      <c r="X19" s="1564"/>
      <c r="Y19" s="3437"/>
      <c r="Z19" s="1572" t="str">
        <f>Q19</f>
        <v>公共配套设施</v>
      </c>
      <c r="AA19" s="1573">
        <f t="shared" si="3"/>
        <v>1.0204081632653061</v>
      </c>
      <c r="AB19" s="1573">
        <f t="shared" si="4"/>
        <v>1.0204081632653061</v>
      </c>
      <c r="AC19" s="1573">
        <f t="shared" si="5"/>
        <v>1.0204081632653061</v>
      </c>
    </row>
    <row r="20" spans="1:29" ht="15">
      <c r="A20" s="531"/>
      <c r="B20" s="594"/>
      <c r="C20" s="575" t="s">
        <v>3021</v>
      </c>
      <c r="D20" s="554"/>
      <c r="E20" s="555" t="s">
        <v>3002</v>
      </c>
      <c r="F20" s="556"/>
      <c r="G20" s="557" t="s">
        <v>3002</v>
      </c>
      <c r="H20" s="554"/>
      <c r="I20" s="557" t="s">
        <v>3002</v>
      </c>
      <c r="J20" s="554"/>
      <c r="K20" s="869"/>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t="s">
        <v>3234</v>
      </c>
      <c r="F21" s="570">
        <f>SUMIF(82:82,E22,83:83)-SUMIF(82:82,C22,83:83)+100</f>
        <v>100</v>
      </c>
      <c r="G21" s="571" t="s">
        <v>3006</v>
      </c>
      <c r="H21" s="564">
        <f>SUMIF(82:82,G22,83:83)-SUMIF(82:82,C22,83:83)+100</f>
        <v>100</v>
      </c>
      <c r="I21" s="569" t="s">
        <v>3006</v>
      </c>
      <c r="J21" s="564">
        <f>SUMIF(82:82,I22,83:83)-SUMIF(82:82,C22,83:83)+100</f>
        <v>100</v>
      </c>
      <c r="K21" s="867"/>
      <c r="L21" s="2138"/>
      <c r="M21" s="2130"/>
      <c r="N21" s="2130"/>
      <c r="O21" s="2137"/>
      <c r="P21" s="3437"/>
      <c r="Q21" s="2575" t="str">
        <f>B21</f>
        <v>基础设施水平</v>
      </c>
      <c r="R21" s="1570" t="s">
        <v>11</v>
      </c>
      <c r="S21" s="1571">
        <f>F21</f>
        <v>100</v>
      </c>
      <c r="T21" s="1570" t="s">
        <v>11</v>
      </c>
      <c r="U21" s="1571">
        <f>H21</f>
        <v>100</v>
      </c>
      <c r="V21" s="1570" t="s">
        <v>11</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21.5">
      <c r="A23" s="531"/>
      <c r="B23" s="870" t="s">
        <v>297</v>
      </c>
      <c r="C23" s="871" t="str">
        <f>估价对象房地状况!C9</f>
        <v>区域自然环境：爱民园、于山风景区等；人文环境：孝悌图书馆、福建大剧院；综合评价环境状况较好。</v>
      </c>
      <c r="D23" s="558">
        <v>100</v>
      </c>
      <c r="E23" s="3188" t="s">
        <v>3315</v>
      </c>
      <c r="F23" s="562">
        <f>SUMIF(84:84,E24,85:85)-SUMIF(84:84,C24,85:85)+100</f>
        <v>100</v>
      </c>
      <c r="G23" s="3188" t="s">
        <v>3305</v>
      </c>
      <c r="H23" s="558">
        <f>SUMIF(84:84,G24,85:85)-SUMIF(84:84,C24,85:85)+100</f>
        <v>100</v>
      </c>
      <c r="I23" s="3188" t="s">
        <v>3305</v>
      </c>
      <c r="J23" s="558">
        <f>SUMIF(84:84,I24,85:85)-SUMIF(84:84,C24,85:85)+100</f>
        <v>100</v>
      </c>
      <c r="K23" s="867">
        <v>2</v>
      </c>
      <c r="L23" s="2138"/>
      <c r="M23" s="2130"/>
      <c r="N23" s="2130"/>
      <c r="O23" s="2137"/>
      <c r="P23" s="3437"/>
      <c r="Q23" s="1569" t="str">
        <f>B23</f>
        <v>自然及人文环境</v>
      </c>
      <c r="R23" s="1570" t="s">
        <v>11</v>
      </c>
      <c r="S23" s="1571">
        <f>F23</f>
        <v>100</v>
      </c>
      <c r="T23" s="1570" t="s">
        <v>11</v>
      </c>
      <c r="U23" s="1571">
        <f>H23</f>
        <v>100</v>
      </c>
      <c r="V23" s="1570" t="s">
        <v>11</v>
      </c>
      <c r="W23" s="1571">
        <f>J23</f>
        <v>100</v>
      </c>
      <c r="X23" s="1564"/>
      <c r="Y23" s="3437"/>
      <c r="Z23" s="1572" t="str">
        <f>Q23</f>
        <v>自然及人文环境</v>
      </c>
      <c r="AA23" s="1573">
        <f t="shared" si="3"/>
        <v>1</v>
      </c>
      <c r="AB23" s="1573">
        <f t="shared" si="4"/>
        <v>1</v>
      </c>
      <c r="AC23" s="1573">
        <f t="shared" si="5"/>
        <v>1</v>
      </c>
    </row>
    <row r="24" spans="1:29" ht="15">
      <c r="A24" s="531"/>
      <c r="B24" s="594"/>
      <c r="C24" s="575" t="s">
        <v>3002</v>
      </c>
      <c r="D24" s="554"/>
      <c r="E24" s="555" t="s">
        <v>3002</v>
      </c>
      <c r="F24" s="556"/>
      <c r="G24" s="557" t="s">
        <v>3002</v>
      </c>
      <c r="H24" s="554"/>
      <c r="I24" s="555" t="s">
        <v>3002</v>
      </c>
      <c r="J24" s="554"/>
      <c r="K24" s="869"/>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1569" t="str">
        <f t="shared" ref="Q25:Q46" si="11">B25</f>
        <v>楼层-1</v>
      </c>
      <c r="R25" s="1570" t="s">
        <v>11</v>
      </c>
      <c r="S25" s="1571">
        <f>F25</f>
        <v>100</v>
      </c>
      <c r="T25" s="1570" t="s">
        <v>11</v>
      </c>
      <c r="U25" s="1571">
        <f>H25</f>
        <v>100</v>
      </c>
      <c r="V25" s="1570" t="s">
        <v>11</v>
      </c>
      <c r="W25" s="1571">
        <f>J25</f>
        <v>100</v>
      </c>
      <c r="X25" s="1564"/>
      <c r="Y25" s="3437"/>
      <c r="Z25" s="1572" t="str">
        <f>Q25</f>
        <v>楼层-1</v>
      </c>
      <c r="AA25" s="1573">
        <f t="shared" si="3"/>
        <v>1</v>
      </c>
      <c r="AB25" s="1573">
        <f t="shared" si="4"/>
        <v>1</v>
      </c>
      <c r="AC25" s="157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1569" t="str">
        <f t="shared" si="11"/>
        <v>朝向</v>
      </c>
      <c r="R26" s="1570" t="s">
        <v>11</v>
      </c>
      <c r="S26" s="1571">
        <f>F26</f>
        <v>100</v>
      </c>
      <c r="T26" s="1570" t="s">
        <v>11</v>
      </c>
      <c r="U26" s="1571">
        <f>H26</f>
        <v>100</v>
      </c>
      <c r="V26" s="1570" t="s">
        <v>11</v>
      </c>
      <c r="W26" s="1571">
        <f>J26</f>
        <v>100</v>
      </c>
      <c r="X26" s="1564"/>
      <c r="Y26" s="3437"/>
      <c r="Z26" s="1572" t="str">
        <f>Q26</f>
        <v>朝向</v>
      </c>
      <c r="AA26" s="1573">
        <f t="shared" si="3"/>
        <v>1</v>
      </c>
      <c r="AB26" s="1573">
        <f t="shared" si="4"/>
        <v>1</v>
      </c>
      <c r="AC26" s="1573">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1149" t="str">
        <f t="shared" si="11"/>
        <v>道路级别</v>
      </c>
      <c r="R27" s="1565" t="s">
        <v>11</v>
      </c>
      <c r="S27" s="1566">
        <f>F27</f>
        <v>100</v>
      </c>
      <c r="T27" s="1565" t="s">
        <v>11</v>
      </c>
      <c r="U27" s="1566">
        <f>H27</f>
        <v>100</v>
      </c>
      <c r="V27" s="1565" t="s">
        <v>11</v>
      </c>
      <c r="W27" s="1566">
        <f>J27</f>
        <v>100</v>
      </c>
      <c r="X27" s="1567"/>
      <c r="Y27" s="3437"/>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7"/>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1569">
        <f t="shared" si="11"/>
        <v>111</v>
      </c>
      <c r="R29" s="1570" t="s">
        <v>11</v>
      </c>
      <c r="S29" s="1571">
        <f t="shared" si="12"/>
        <v>100</v>
      </c>
      <c r="T29" s="1570" t="s">
        <v>11</v>
      </c>
      <c r="U29" s="1571">
        <f t="shared" si="13"/>
        <v>100</v>
      </c>
      <c r="V29" s="1570" t="s">
        <v>11</v>
      </c>
      <c r="W29" s="1571">
        <f t="shared" si="14"/>
        <v>100</v>
      </c>
      <c r="X29" s="1564"/>
      <c r="Y29" s="3437"/>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1569">
        <f t="shared" si="11"/>
        <v>111</v>
      </c>
      <c r="R30" s="1570" t="s">
        <v>11</v>
      </c>
      <c r="S30" s="1571">
        <f t="shared" si="12"/>
        <v>100</v>
      </c>
      <c r="T30" s="1570" t="s">
        <v>11</v>
      </c>
      <c r="U30" s="1571">
        <f t="shared" si="13"/>
        <v>100</v>
      </c>
      <c r="V30" s="1570" t="s">
        <v>11</v>
      </c>
      <c r="W30" s="1571">
        <f t="shared" si="14"/>
        <v>100</v>
      </c>
      <c r="X30" s="1564"/>
      <c r="Y30" s="3437"/>
      <c r="Z30" s="1572">
        <f t="shared" si="15"/>
        <v>111</v>
      </c>
      <c r="AA30" s="1573">
        <f t="shared" si="3"/>
        <v>1</v>
      </c>
      <c r="AB30" s="1573">
        <f t="shared" si="4"/>
        <v>1</v>
      </c>
      <c r="AC30" s="157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1569">
        <f t="shared" si="11"/>
        <v>111</v>
      </c>
      <c r="R31" s="1570" t="s">
        <v>11</v>
      </c>
      <c r="S31" s="1571">
        <f t="shared" si="12"/>
        <v>100</v>
      </c>
      <c r="T31" s="1570" t="s">
        <v>11</v>
      </c>
      <c r="U31" s="1571">
        <f t="shared" si="13"/>
        <v>100</v>
      </c>
      <c r="V31" s="1570" t="s">
        <v>11</v>
      </c>
      <c r="W31" s="1571">
        <f t="shared" si="14"/>
        <v>100</v>
      </c>
      <c r="X31" s="1564"/>
      <c r="Y31" s="3437"/>
      <c r="Z31" s="1572">
        <f t="shared" si="15"/>
        <v>111</v>
      </c>
      <c r="AA31" s="1573">
        <f t="shared" si="3"/>
        <v>1</v>
      </c>
      <c r="AB31" s="1573">
        <f t="shared" si="4"/>
        <v>1</v>
      </c>
      <c r="AC31" s="1573">
        <f t="shared" si="5"/>
        <v>1</v>
      </c>
    </row>
    <row r="32" spans="1:29" ht="15">
      <c r="A32" s="2903" t="s">
        <v>2755</v>
      </c>
      <c r="B32" s="172" t="s">
        <v>725</v>
      </c>
      <c r="C32" s="877" t="s">
        <v>3050</v>
      </c>
      <c r="D32" s="596">
        <v>100</v>
      </c>
      <c r="E32" s="877" t="s">
        <v>3050</v>
      </c>
      <c r="F32" s="574">
        <f>SUMIF(100:100,E32,101:101)-SUMIF(100:100,C32,101:101)+100</f>
        <v>100</v>
      </c>
      <c r="G32" s="877" t="s">
        <v>3207</v>
      </c>
      <c r="H32" s="596">
        <f>SUMIF(100:100,G32,101:101)-SUMIF(100:100,C32,101:101)+100</f>
        <v>95</v>
      </c>
      <c r="I32" s="877" t="s">
        <v>3050</v>
      </c>
      <c r="J32" s="539">
        <f>SUMIF(100:100,I32,101:101)-SUMIF(100:100,C32,101:101)+100</f>
        <v>100</v>
      </c>
      <c r="K32" s="863">
        <v>5</v>
      </c>
      <c r="L32" s="2138"/>
      <c r="M32" s="2130"/>
      <c r="N32" s="2130"/>
      <c r="O32" s="2137"/>
      <c r="P32" s="3438" t="s">
        <v>550</v>
      </c>
      <c r="Q32" s="1569" t="str">
        <f t="shared" si="11"/>
        <v>建筑类型</v>
      </c>
      <c r="R32" s="1570" t="s">
        <v>11</v>
      </c>
      <c r="S32" s="1571">
        <f t="shared" si="12"/>
        <v>100</v>
      </c>
      <c r="T32" s="1570" t="s">
        <v>11</v>
      </c>
      <c r="U32" s="1571">
        <f t="shared" si="13"/>
        <v>95</v>
      </c>
      <c r="V32" s="1570" t="s">
        <v>11</v>
      </c>
      <c r="W32" s="1571">
        <f t="shared" si="14"/>
        <v>100</v>
      </c>
      <c r="X32" s="1564"/>
      <c r="Y32" s="3439" t="s">
        <v>550</v>
      </c>
      <c r="Z32" s="1572" t="str">
        <f t="shared" si="15"/>
        <v>建筑类型</v>
      </c>
      <c r="AA32" s="1573">
        <f t="shared" si="3"/>
        <v>1</v>
      </c>
      <c r="AB32" s="1573">
        <f t="shared" si="4"/>
        <v>1.0526315789473684</v>
      </c>
      <c r="AC32" s="1573">
        <f t="shared" si="5"/>
        <v>1</v>
      </c>
    </row>
    <row r="33" spans="1:29" s="1337" customFormat="1" ht="15">
      <c r="A33" s="602"/>
      <c r="B33" s="526" t="s">
        <v>726</v>
      </c>
      <c r="C33" s="878">
        <f>'数据-汇总表'!E31+'数据-基础表'!O16</f>
        <v>100118.92</v>
      </c>
      <c r="D33" s="254">
        <v>100</v>
      </c>
      <c r="E33" s="533">
        <v>126103</v>
      </c>
      <c r="F33" s="862">
        <f>LOOKUP(E33,103:103,104:104)-LOOKUP(C33,103:103,104:104)+100</f>
        <v>100</v>
      </c>
      <c r="G33" s="532">
        <v>300000</v>
      </c>
      <c r="H33" s="254">
        <f>LOOKUP(G33,103:103,104:104)-LOOKUP(C33,103:103,104:104)+100</f>
        <v>102</v>
      </c>
      <c r="I33" s="533">
        <v>160000</v>
      </c>
      <c r="J33" s="254">
        <f>LOOKUP(I33,103:103,104:104)-LOOKUP(C33,103:103,104:104)+100</f>
        <v>100</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100</v>
      </c>
      <c r="X33" s="1576"/>
      <c r="Y33" s="3439"/>
      <c r="Z33" s="1577" t="str">
        <f t="shared" si="15"/>
        <v>项目建筑规模</v>
      </c>
      <c r="AA33" s="1573">
        <f t="shared" si="3"/>
        <v>1</v>
      </c>
      <c r="AB33" s="1573">
        <f t="shared" si="4"/>
        <v>0.98039215686274506</v>
      </c>
      <c r="AC33" s="1573">
        <f t="shared" si="5"/>
        <v>1</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v>2</v>
      </c>
      <c r="L34" s="2138"/>
      <c r="M34" s="2130"/>
      <c r="N34" s="2130"/>
      <c r="O34" s="2137"/>
      <c r="P34" s="3439"/>
      <c r="Q34" s="1569" t="str">
        <f t="shared" si="11"/>
        <v>建筑结构</v>
      </c>
      <c r="R34" s="1570" t="s">
        <v>11</v>
      </c>
      <c r="S34" s="1571">
        <f t="shared" si="12"/>
        <v>100</v>
      </c>
      <c r="T34" s="1570" t="s">
        <v>11</v>
      </c>
      <c r="U34" s="1571">
        <f t="shared" si="13"/>
        <v>100</v>
      </c>
      <c r="V34" s="1570" t="s">
        <v>11</v>
      </c>
      <c r="W34" s="1571">
        <f t="shared" si="14"/>
        <v>100</v>
      </c>
      <c r="X34" s="1564"/>
      <c r="Y34" s="3439"/>
      <c r="Z34" s="1572" t="str">
        <f t="shared" si="15"/>
        <v>建筑结构</v>
      </c>
      <c r="AA34" s="1573">
        <f t="shared" si="3"/>
        <v>1</v>
      </c>
      <c r="AB34" s="1573">
        <f t="shared" si="4"/>
        <v>1</v>
      </c>
      <c r="AC34" s="157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3002</v>
      </c>
      <c r="J35" s="539">
        <f>SUMIF(107:107,I35,108:108)-SUMIF(107:107,C35,108:108)+100</f>
        <v>100</v>
      </c>
      <c r="K35" s="863">
        <v>3</v>
      </c>
      <c r="L35" s="2138"/>
      <c r="M35" s="2130"/>
      <c r="N35" s="2130"/>
      <c r="O35" s="2137"/>
      <c r="P35" s="3439"/>
      <c r="Q35" s="1569" t="str">
        <f t="shared" si="11"/>
        <v>建筑品质</v>
      </c>
      <c r="R35" s="1570" t="s">
        <v>11</v>
      </c>
      <c r="S35" s="1571">
        <f t="shared" si="12"/>
        <v>100</v>
      </c>
      <c r="T35" s="1570" t="s">
        <v>11</v>
      </c>
      <c r="U35" s="1571">
        <f t="shared" si="13"/>
        <v>100</v>
      </c>
      <c r="V35" s="1570" t="s">
        <v>11</v>
      </c>
      <c r="W35" s="1571">
        <f t="shared" si="14"/>
        <v>100</v>
      </c>
      <c r="X35" s="1564"/>
      <c r="Y35" s="3439"/>
      <c r="Z35" s="1572" t="str">
        <f t="shared" si="15"/>
        <v>建筑品质</v>
      </c>
      <c r="AA35" s="1573">
        <f t="shared" si="3"/>
        <v>1</v>
      </c>
      <c r="AB35" s="1573">
        <f t="shared" si="4"/>
        <v>1</v>
      </c>
      <c r="AC35" s="1573">
        <f t="shared" si="5"/>
        <v>1</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v>2</v>
      </c>
      <c r="L36" s="2138"/>
      <c r="M36" s="2130"/>
      <c r="N36" s="2130"/>
      <c r="O36" s="2137"/>
      <c r="P36" s="3439"/>
      <c r="Q36" s="1569" t="str">
        <f t="shared" si="11"/>
        <v>公共部分装修</v>
      </c>
      <c r="R36" s="1570" t="s">
        <v>11</v>
      </c>
      <c r="S36" s="1571">
        <f t="shared" si="12"/>
        <v>100</v>
      </c>
      <c r="T36" s="1570" t="s">
        <v>11</v>
      </c>
      <c r="U36" s="1571">
        <f t="shared" si="13"/>
        <v>100</v>
      </c>
      <c r="V36" s="1570" t="s">
        <v>11</v>
      </c>
      <c r="W36" s="1571">
        <f t="shared" si="14"/>
        <v>100</v>
      </c>
      <c r="X36" s="1564"/>
      <c r="Y36" s="3439"/>
      <c r="Z36" s="1572" t="str">
        <f t="shared" si="15"/>
        <v>公共部分装修</v>
      </c>
      <c r="AA36" s="1573">
        <f t="shared" si="3"/>
        <v>1</v>
      </c>
      <c r="AB36" s="1573">
        <f t="shared" si="4"/>
        <v>1</v>
      </c>
      <c r="AC36" s="157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1"/>
      <c r="M37" s="2132"/>
      <c r="N37" s="2132"/>
      <c r="O37" s="2133"/>
      <c r="P37" s="3439"/>
      <c r="Q37" s="1149" t="str">
        <f t="shared" si="11"/>
        <v>成新度</v>
      </c>
      <c r="R37" s="1565" t="s">
        <v>11</v>
      </c>
      <c r="S37" s="1566">
        <f t="shared" si="12"/>
        <v>100</v>
      </c>
      <c r="T37" s="1565" t="s">
        <v>11</v>
      </c>
      <c r="U37" s="1566">
        <f t="shared" si="13"/>
        <v>100</v>
      </c>
      <c r="V37" s="1565" t="s">
        <v>11</v>
      </c>
      <c r="W37" s="1566">
        <f t="shared" si="14"/>
        <v>100</v>
      </c>
      <c r="X37" s="1567"/>
      <c r="Y37" s="3439"/>
      <c r="Z37" s="1148"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v>2</v>
      </c>
      <c r="L38" s="2138"/>
      <c r="M38" s="2130"/>
      <c r="N38" s="2130"/>
      <c r="O38" s="2137"/>
      <c r="P38" s="3439" t="s">
        <v>550</v>
      </c>
      <c r="Q38" s="1569" t="str">
        <f t="shared" si="11"/>
        <v>物业管理</v>
      </c>
      <c r="R38" s="1570" t="s">
        <v>11</v>
      </c>
      <c r="S38" s="1571">
        <f t="shared" si="12"/>
        <v>100</v>
      </c>
      <c r="T38" s="1570" t="s">
        <v>11</v>
      </c>
      <c r="U38" s="1571">
        <f t="shared" si="13"/>
        <v>100</v>
      </c>
      <c r="V38" s="1570" t="s">
        <v>11</v>
      </c>
      <c r="W38" s="1571">
        <f t="shared" si="14"/>
        <v>100</v>
      </c>
      <c r="X38" s="1564"/>
      <c r="Y38" s="3439" t="s">
        <v>550</v>
      </c>
      <c r="Z38" s="1572" t="str">
        <f t="shared" si="15"/>
        <v>物业管理</v>
      </c>
      <c r="AA38" s="1573">
        <f t="shared" si="3"/>
        <v>1</v>
      </c>
      <c r="AB38" s="1573">
        <f t="shared" si="4"/>
        <v>1</v>
      </c>
      <c r="AC38" s="157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v>2</v>
      </c>
      <c r="L39" s="2138"/>
      <c r="M39" s="2130"/>
      <c r="N39" s="2130"/>
      <c r="O39" s="2137"/>
      <c r="P39" s="3439"/>
      <c r="Q39" s="1569" t="str">
        <f t="shared" si="11"/>
        <v>市政基础设施</v>
      </c>
      <c r="R39" s="1570" t="s">
        <v>11</v>
      </c>
      <c r="S39" s="1571">
        <f t="shared" si="12"/>
        <v>100</v>
      </c>
      <c r="T39" s="1570" t="s">
        <v>11</v>
      </c>
      <c r="U39" s="1571">
        <f t="shared" si="13"/>
        <v>100</v>
      </c>
      <c r="V39" s="1570" t="s">
        <v>11</v>
      </c>
      <c r="W39" s="1571">
        <f t="shared" si="14"/>
        <v>100</v>
      </c>
      <c r="X39" s="1564"/>
      <c r="Y39" s="3439"/>
      <c r="Z39" s="1572" t="str">
        <f t="shared" si="15"/>
        <v>市政基础设施</v>
      </c>
      <c r="AA39" s="1573">
        <f t="shared" si="3"/>
        <v>1</v>
      </c>
      <c r="AB39" s="1573">
        <f t="shared" si="4"/>
        <v>1</v>
      </c>
      <c r="AC39" s="1573">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1569" t="str">
        <f t="shared" si="11"/>
        <v>房型</v>
      </c>
      <c r="R40" s="1570" t="s">
        <v>11</v>
      </c>
      <c r="S40" s="1571">
        <f t="shared" si="12"/>
        <v>100</v>
      </c>
      <c r="T40" s="1570" t="s">
        <v>11</v>
      </c>
      <c r="U40" s="1571">
        <f t="shared" si="13"/>
        <v>100</v>
      </c>
      <c r="V40" s="1570" t="s">
        <v>11</v>
      </c>
      <c r="W40" s="1571">
        <f t="shared" si="14"/>
        <v>100</v>
      </c>
      <c r="X40" s="1564"/>
      <c r="Y40" s="3439"/>
      <c r="Z40" s="1572" t="str">
        <f t="shared" si="15"/>
        <v>房型</v>
      </c>
      <c r="AA40" s="1573">
        <f t="shared" si="3"/>
        <v>1</v>
      </c>
      <c r="AB40" s="1573">
        <f t="shared" si="4"/>
        <v>1</v>
      </c>
      <c r="AC40" s="1573">
        <f t="shared" si="5"/>
        <v>1</v>
      </c>
    </row>
    <row r="41" spans="1:29" s="1337"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1573">
        <f t="shared" si="3"/>
        <v>1</v>
      </c>
      <c r="AB41" s="1573">
        <f t="shared" si="4"/>
        <v>1</v>
      </c>
      <c r="AC41" s="1573">
        <f t="shared" si="5"/>
        <v>1</v>
      </c>
    </row>
    <row r="42" spans="1:29" ht="15">
      <c r="A42" s="593"/>
      <c r="B42" s="526" t="s">
        <v>734</v>
      </c>
      <c r="C42" s="598" t="s">
        <v>3294</v>
      </c>
      <c r="D42" s="539">
        <v>100</v>
      </c>
      <c r="E42" s="598" t="s">
        <v>3036</v>
      </c>
      <c r="F42" s="574">
        <f>SUMIF(122:122,E42,123:123)-SUMIF(122:122,C42,123:123)+100</f>
        <v>85</v>
      </c>
      <c r="G42" s="598" t="s">
        <v>3294</v>
      </c>
      <c r="H42" s="539">
        <f>SUMIF(122:122,G42,123:123)-SUMIF(122:122,C42,123:123)+100</f>
        <v>100</v>
      </c>
      <c r="I42" s="598" t="s">
        <v>3036</v>
      </c>
      <c r="J42" s="539">
        <f>SUMIF(122:122,I42,123:123)-SUMIF(122:122,C42,123:123)+100</f>
        <v>85</v>
      </c>
      <c r="K42" s="863">
        <v>5</v>
      </c>
      <c r="L42" s="2138"/>
      <c r="M42" s="2130"/>
      <c r="N42" s="2130"/>
      <c r="O42" s="2137"/>
      <c r="P42" s="3439"/>
      <c r="Q42" s="1569" t="str">
        <f t="shared" si="11"/>
        <v>内部装修</v>
      </c>
      <c r="R42" s="1570" t="s">
        <v>11</v>
      </c>
      <c r="S42" s="1571">
        <f t="shared" si="12"/>
        <v>85</v>
      </c>
      <c r="T42" s="1570" t="s">
        <v>11</v>
      </c>
      <c r="U42" s="1571">
        <f t="shared" si="13"/>
        <v>100</v>
      </c>
      <c r="V42" s="1570" t="s">
        <v>11</v>
      </c>
      <c r="W42" s="1571">
        <f t="shared" si="14"/>
        <v>85</v>
      </c>
      <c r="X42" s="1564"/>
      <c r="Y42" s="3439"/>
      <c r="Z42" s="1572" t="str">
        <f t="shared" si="15"/>
        <v>内部装修</v>
      </c>
      <c r="AA42" s="1573">
        <f t="shared" si="3"/>
        <v>1.1764705882352942</v>
      </c>
      <c r="AB42" s="1573">
        <f t="shared" si="4"/>
        <v>1</v>
      </c>
      <c r="AC42" s="1573">
        <f t="shared" si="5"/>
        <v>1.1764705882352942</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1569" t="str">
        <f t="shared" si="11"/>
        <v>内部装修维护情况</v>
      </c>
      <c r="R43" s="1570" t="s">
        <v>11</v>
      </c>
      <c r="S43" s="1571">
        <f t="shared" si="12"/>
        <v>100</v>
      </c>
      <c r="T43" s="1570" t="s">
        <v>11</v>
      </c>
      <c r="U43" s="1571">
        <f t="shared" si="13"/>
        <v>100</v>
      </c>
      <c r="V43" s="1570" t="s">
        <v>11</v>
      </c>
      <c r="W43" s="1571">
        <f t="shared" si="14"/>
        <v>100</v>
      </c>
      <c r="X43" s="1564"/>
      <c r="Y43" s="3439"/>
      <c r="Z43" s="1572" t="str">
        <f t="shared" si="15"/>
        <v>内部装修维护情况</v>
      </c>
      <c r="AA43" s="1573">
        <f t="shared" si="3"/>
        <v>1</v>
      </c>
      <c r="AB43" s="1573">
        <f t="shared" si="4"/>
        <v>1</v>
      </c>
      <c r="AC43" s="1573">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1149">
        <f t="shared" si="11"/>
        <v>111</v>
      </c>
      <c r="R44" s="1565" t="s">
        <v>11</v>
      </c>
      <c r="S44" s="1566">
        <f t="shared" si="12"/>
        <v>100</v>
      </c>
      <c r="T44" s="1565" t="s">
        <v>11</v>
      </c>
      <c r="U44" s="1566">
        <f t="shared" si="13"/>
        <v>100</v>
      </c>
      <c r="V44" s="1565" t="s">
        <v>11</v>
      </c>
      <c r="W44" s="1566">
        <f t="shared" si="14"/>
        <v>100</v>
      </c>
      <c r="X44" s="1567"/>
      <c r="Y44" s="3439"/>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1569">
        <f t="shared" si="11"/>
        <v>111</v>
      </c>
      <c r="R45" s="1570" t="s">
        <v>11</v>
      </c>
      <c r="S45" s="1571">
        <f t="shared" si="12"/>
        <v>100</v>
      </c>
      <c r="T45" s="1570" t="s">
        <v>11</v>
      </c>
      <c r="U45" s="1571">
        <f t="shared" si="13"/>
        <v>100</v>
      </c>
      <c r="V45" s="1570" t="s">
        <v>11</v>
      </c>
      <c r="W45" s="1571">
        <f t="shared" si="14"/>
        <v>100</v>
      </c>
      <c r="X45" s="1564"/>
      <c r="Y45" s="3439"/>
      <c r="Z45" s="1572">
        <f t="shared" si="15"/>
        <v>111</v>
      </c>
      <c r="AA45" s="1573">
        <f t="shared" si="3"/>
        <v>1</v>
      </c>
      <c r="AB45" s="1573">
        <f t="shared" si="4"/>
        <v>1</v>
      </c>
      <c r="AC45" s="157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1569">
        <f t="shared" si="11"/>
        <v>111</v>
      </c>
      <c r="R46" s="1570" t="s">
        <v>10</v>
      </c>
      <c r="S46" s="1571">
        <f t="shared" si="12"/>
        <v>100</v>
      </c>
      <c r="T46" s="1570" t="s">
        <v>10</v>
      </c>
      <c r="U46" s="1571">
        <f t="shared" si="13"/>
        <v>100</v>
      </c>
      <c r="V46" s="1570" t="s">
        <v>10</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9</v>
      </c>
      <c r="D47" s="2624"/>
      <c r="E47" s="2625">
        <v>35000</v>
      </c>
      <c r="F47" s="2626"/>
      <c r="G47" s="2627">
        <v>35000</v>
      </c>
      <c r="H47" s="2628"/>
      <c r="I47" s="2625">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2760</v>
      </c>
      <c r="B48" s="886"/>
      <c r="C48" s="2629">
        <f>R49</f>
        <v>43742</v>
      </c>
      <c r="D48" s="2630"/>
      <c r="E48" s="2631">
        <f>R48</f>
        <v>44200</v>
      </c>
      <c r="F48" s="2631"/>
      <c r="G48" s="2629">
        <f>T48</f>
        <v>39997</v>
      </c>
      <c r="H48" s="2630"/>
      <c r="I48" s="2631">
        <f>V48</f>
        <v>47029</v>
      </c>
      <c r="J48" s="2630"/>
      <c r="K48" s="1604"/>
      <c r="L48" s="2140"/>
      <c r="M48" s="2141"/>
      <c r="N48" s="2141"/>
      <c r="O48" s="2141"/>
      <c r="P48" s="3401" t="str">
        <f>A48</f>
        <v>比较价格（元/平方米）</v>
      </c>
      <c r="Q48" s="3401"/>
      <c r="R48" s="3517">
        <f>IF(F1="售价",ROUND(PRODUCT(R47,AA7:AA46),0),ROUND(PRODUCT(R47,AA7:AA46),1))</f>
        <v>44200</v>
      </c>
      <c r="S48" s="3517"/>
      <c r="T48" s="3517">
        <f>IF(F1="售价",ROUND(PRODUCT(T47,AB7:AB46),0),ROUND(PRODUCT(T47,AB7:AB46),1))</f>
        <v>39997</v>
      </c>
      <c r="U48" s="3517"/>
      <c r="V48" s="3517">
        <f>IF(F1="售价",ROUND(PRODUCT(V47,AC7:AC46),0),ROUND(PRODUCT(V47,AC7:AC46),1))</f>
        <v>47029</v>
      </c>
      <c r="W48" s="3517"/>
      <c r="X48" s="1556"/>
      <c r="Y48" s="1556"/>
      <c r="Z48" s="1556"/>
      <c r="AA48" s="1556"/>
      <c r="AB48" s="1556"/>
      <c r="AC48" s="1556"/>
    </row>
    <row r="49" spans="1:29" ht="15.75" thickBot="1">
      <c r="A49" s="620" t="s">
        <v>2924</v>
      </c>
      <c r="B49" s="621"/>
      <c r="C49" s="2632">
        <f>R49</f>
        <v>43742</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43742</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0.2628571428571429</v>
      </c>
      <c r="F52" s="626" t="str">
        <f>IF(OR(E52&gt;=0.3,E52&lt;=-0.3),"超过30%","")</f>
        <v/>
      </c>
      <c r="G52" s="625">
        <f>IF(G47&lt;G48,G48/G47-1,G47/G48-1)</f>
        <v>0.14277142857142855</v>
      </c>
      <c r="H52" s="626" t="str">
        <f>IF(OR(G52&gt;=0.3,G52&lt;=-0.3),"超过30%","")</f>
        <v/>
      </c>
      <c r="I52" s="625">
        <f>IF(I47&lt;I48,I48/I47-1,I47/I48-1)</f>
        <v>0.23760526315789465</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0.10508288121609111</v>
      </c>
      <c r="F53" s="626" t="str">
        <f>IF(OR(E53&gt;=0.2,E53&lt;=-0.2),"超过20%","")</f>
        <v/>
      </c>
      <c r="G53" s="625">
        <f>IF(G48&lt;I48,I48/G48-1,G48/I48-1)</f>
        <v>0.17581318598894913</v>
      </c>
      <c r="H53" s="626" t="str">
        <f>IF(OR(G53&gt;=0.2,G53&lt;=-0.2),"超过20%","")</f>
        <v/>
      </c>
      <c r="I53" s="625">
        <f>IF(I48&lt;E48,E48/I48-1,I48/E48-1)</f>
        <v>6.4004524886877912E-2</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97</v>
      </c>
      <c r="E77" s="678">
        <f>D77-$K15</f>
        <v>94</v>
      </c>
      <c r="F77" s="678">
        <f>E77-$K15</f>
        <v>91</v>
      </c>
      <c r="G77" s="678">
        <f>F77-$K15</f>
        <v>88</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98</v>
      </c>
      <c r="E79" s="678">
        <f>D79-$K17</f>
        <v>96</v>
      </c>
      <c r="F79" s="678">
        <f>E79-$K17</f>
        <v>94</v>
      </c>
      <c r="G79" s="678">
        <f>F79-$K17</f>
        <v>92</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3051</v>
      </c>
      <c r="D100" s="3200" t="s">
        <v>3208</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W51" sqref="W5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19" t="s">
        <v>719</v>
      </c>
      <c r="C1" s="2620" t="s">
        <v>720</v>
      </c>
      <c r="D1" s="2621" t="s">
        <v>3049</v>
      </c>
      <c r="E1" s="2622"/>
      <c r="F1" s="2803" t="s">
        <v>2999</v>
      </c>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467</v>
      </c>
      <c r="B2" s="2618">
        <f>ROUND(B3*D3/10000,0)</f>
        <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519</v>
      </c>
      <c r="B3" s="850">
        <f>C49</f>
        <v>39293</v>
      </c>
      <c r="C3" s="851" t="s">
        <v>722</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521</v>
      </c>
      <c r="B4" s="512"/>
      <c r="C4" s="3407" t="s">
        <v>522</v>
      </c>
      <c r="D4" s="3408"/>
      <c r="E4" s="3446" t="s">
        <v>523</v>
      </c>
      <c r="F4" s="3447"/>
      <c r="G4" s="3407" t="s">
        <v>524</v>
      </c>
      <c r="H4" s="3408"/>
      <c r="I4" s="3407" t="s">
        <v>525</v>
      </c>
      <c r="J4" s="3408"/>
      <c r="K4" s="852" t="s">
        <v>526</v>
      </c>
      <c r="L4" s="2129"/>
      <c r="M4" s="2130"/>
      <c r="N4" s="2130"/>
      <c r="O4" s="2130"/>
      <c r="P4" s="3409" t="s">
        <v>527</v>
      </c>
      <c r="Q4" s="3410"/>
      <c r="R4" s="3415" t="s">
        <v>523</v>
      </c>
      <c r="S4" s="3416"/>
      <c r="T4" s="3415" t="s">
        <v>524</v>
      </c>
      <c r="U4" s="3416"/>
      <c r="V4" s="3402" t="s">
        <v>525</v>
      </c>
      <c r="W4" s="3402"/>
      <c r="X4" s="3182"/>
      <c r="Y4" s="3415" t="s">
        <v>527</v>
      </c>
      <c r="Z4" s="3416"/>
      <c r="AA4" s="3404" t="s">
        <v>523</v>
      </c>
      <c r="AB4" s="3404" t="s">
        <v>524</v>
      </c>
      <c r="AC4" s="3404" t="s">
        <v>525</v>
      </c>
    </row>
    <row r="5" spans="1:29" ht="15">
      <c r="A5" s="514"/>
      <c r="B5" s="515"/>
      <c r="C5" s="3522" t="s">
        <v>2993</v>
      </c>
      <c r="D5" s="3441"/>
      <c r="E5" s="3523" t="s">
        <v>2995</v>
      </c>
      <c r="F5" s="3449"/>
      <c r="G5" s="3522" t="s">
        <v>2996</v>
      </c>
      <c r="H5" s="3441"/>
      <c r="I5" s="3522" t="s">
        <v>2998</v>
      </c>
      <c r="J5" s="3441"/>
      <c r="K5" s="853"/>
      <c r="L5" s="2129"/>
      <c r="M5" s="2130"/>
      <c r="N5" s="2130"/>
      <c r="O5" s="2130"/>
      <c r="P5" s="3411"/>
      <c r="Q5" s="3412"/>
      <c r="R5" s="3417"/>
      <c r="S5" s="3418"/>
      <c r="T5" s="3417"/>
      <c r="U5" s="3418"/>
      <c r="V5" s="3402"/>
      <c r="W5" s="3402"/>
      <c r="X5" s="3182"/>
      <c r="Y5" s="3417"/>
      <c r="Z5" s="3418"/>
      <c r="AA5" s="3405"/>
      <c r="AB5" s="3405"/>
      <c r="AC5" s="3405"/>
    </row>
    <row r="6" spans="1:29" ht="25.5" customHeight="1" thickBot="1">
      <c r="A6" s="516"/>
      <c r="B6" s="517"/>
      <c r="C6" s="3524" t="s">
        <v>2994</v>
      </c>
      <c r="D6" s="3443"/>
      <c r="E6" s="3524" t="s">
        <v>2994</v>
      </c>
      <c r="F6" s="3443"/>
      <c r="G6" s="3524" t="s">
        <v>2997</v>
      </c>
      <c r="H6" s="3443"/>
      <c r="I6" s="3442" t="s">
        <v>2922</v>
      </c>
      <c r="J6" s="3443"/>
      <c r="K6" s="853" t="s">
        <v>528</v>
      </c>
      <c r="L6" s="2129"/>
      <c r="M6" s="2130"/>
      <c r="N6" s="2130"/>
      <c r="O6" s="2130"/>
      <c r="P6" s="3413"/>
      <c r="Q6" s="3414"/>
      <c r="R6" s="3417"/>
      <c r="S6" s="3418"/>
      <c r="T6" s="3419"/>
      <c r="U6" s="3420"/>
      <c r="V6" s="3402"/>
      <c r="W6" s="3402"/>
      <c r="X6" s="3182"/>
      <c r="Y6" s="3419"/>
      <c r="Z6" s="3420"/>
      <c r="AA6" s="3406"/>
      <c r="AB6" s="3406"/>
      <c r="AC6" s="3406"/>
    </row>
    <row r="7" spans="1:29" s="1218" customFormat="1" ht="15.75" thickBot="1">
      <c r="A7" s="2908"/>
      <c r="B7" s="2915" t="s">
        <v>529</v>
      </c>
      <c r="C7" s="518">
        <f>'数据-取费表'!B2</f>
        <v>43328</v>
      </c>
      <c r="D7" s="519">
        <v>100</v>
      </c>
      <c r="E7" s="520">
        <v>43313</v>
      </c>
      <c r="F7" s="521">
        <f>SUMIF(58:58,YEAR(E7)&amp;"-"&amp;MONTH(E7),59:59)</f>
        <v>100</v>
      </c>
      <c r="G7" s="520">
        <v>43313</v>
      </c>
      <c r="H7" s="519">
        <f>SUMIF(58:58,YEAR(G7)&amp;"-"&amp;MONTH(G7),59:59)</f>
        <v>100</v>
      </c>
      <c r="I7" s="520">
        <v>43313</v>
      </c>
      <c r="J7" s="519">
        <f>SUMIF(58:58,YEAR(I7)&amp;"-"&amp;MONTH(I7),59:59)</f>
        <v>100</v>
      </c>
      <c r="K7" s="854"/>
      <c r="L7" s="2131"/>
      <c r="M7" s="2132"/>
      <c r="N7" s="2132"/>
      <c r="O7" s="2132"/>
      <c r="P7" s="3433" t="s">
        <v>530</v>
      </c>
      <c r="Q7" s="3435"/>
      <c r="R7" s="1565" t="s">
        <v>13</v>
      </c>
      <c r="S7" s="1566">
        <f t="shared" ref="S7:S15" si="0">F7</f>
        <v>100</v>
      </c>
      <c r="T7" s="1565" t="s">
        <v>13</v>
      </c>
      <c r="U7" s="1566">
        <f t="shared" ref="U7:U15" si="1">H7</f>
        <v>100</v>
      </c>
      <c r="V7" s="1565" t="s">
        <v>13</v>
      </c>
      <c r="W7" s="1566">
        <f t="shared" ref="W7:W15"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1"/>
      <c r="M8" s="2132"/>
      <c r="N8" s="2132"/>
      <c r="O8" s="2132"/>
      <c r="P8" s="3433" t="s">
        <v>533</v>
      </c>
      <c r="Q8" s="3434"/>
      <c r="R8" s="1565" t="s">
        <v>13</v>
      </c>
      <c r="S8" s="1566">
        <f t="shared" si="0"/>
        <v>100</v>
      </c>
      <c r="T8" s="1565" t="s">
        <v>13</v>
      </c>
      <c r="U8" s="1566">
        <f t="shared" si="1"/>
        <v>100</v>
      </c>
      <c r="V8" s="1565" t="s">
        <v>13</v>
      </c>
      <c r="W8" s="1566">
        <f t="shared" si="2"/>
        <v>100</v>
      </c>
      <c r="X8" s="1567"/>
      <c r="Y8" s="3433" t="s">
        <v>533</v>
      </c>
      <c r="Z8" s="3434"/>
      <c r="AA8" s="1568">
        <f t="shared" ref="AA8:AA46" si="3">D8/F8</f>
        <v>1</v>
      </c>
      <c r="AB8" s="1568">
        <f t="shared" ref="AB8:AB46" si="4">D8/H8</f>
        <v>1</v>
      </c>
      <c r="AC8" s="1568">
        <f t="shared" ref="AC8:AC46" si="5">D8/J8</f>
        <v>1</v>
      </c>
    </row>
    <row r="9" spans="1:29" s="1218" customFormat="1" ht="15">
      <c r="A9" s="2910"/>
      <c r="B9" s="2917" t="s">
        <v>2756</v>
      </c>
      <c r="C9" s="3186" t="s">
        <v>3008</v>
      </c>
      <c r="D9" s="253">
        <v>100</v>
      </c>
      <c r="E9" s="857" t="s">
        <v>923</v>
      </c>
      <c r="F9" s="858">
        <f>SUMIF(63:63,E9,64:64)-SUMIF(63:63,C9,64:64)+100</f>
        <v>100</v>
      </c>
      <c r="G9" s="857" t="s">
        <v>923</v>
      </c>
      <c r="H9" s="253">
        <f>SUMIF(63:63,G9,64:64)-SUMIF(63:63,C9,64:64)+100</f>
        <v>100</v>
      </c>
      <c r="I9" s="857" t="s">
        <v>923</v>
      </c>
      <c r="J9" s="253">
        <f>SUMIF(63:63,I9,64:64)-SUMIF(63:63,C9,64:64)+100</f>
        <v>100</v>
      </c>
      <c r="K9" s="854"/>
      <c r="L9" s="2131"/>
      <c r="M9" s="2132"/>
      <c r="N9" s="2132"/>
      <c r="O9" s="2133"/>
      <c r="P9" s="3401" t="s">
        <v>535</v>
      </c>
      <c r="Q9" s="3177" t="str">
        <f t="shared" ref="Q9:Q15" si="6">B9</f>
        <v>用途</v>
      </c>
      <c r="R9" s="1565" t="s">
        <v>8</v>
      </c>
      <c r="S9" s="1566">
        <f t="shared" si="0"/>
        <v>100</v>
      </c>
      <c r="T9" s="1565" t="s">
        <v>8</v>
      </c>
      <c r="U9" s="1566">
        <f t="shared" si="1"/>
        <v>100</v>
      </c>
      <c r="V9" s="1565" t="s">
        <v>8</v>
      </c>
      <c r="W9" s="1566">
        <f t="shared" si="2"/>
        <v>100</v>
      </c>
      <c r="X9" s="1567"/>
      <c r="Y9" s="3343" t="s">
        <v>536</v>
      </c>
      <c r="Z9" s="3172" t="str">
        <f t="shared" ref="Z9:Z15" si="7">Q9</f>
        <v>用途</v>
      </c>
      <c r="AA9" s="1568">
        <f t="shared" si="3"/>
        <v>1</v>
      </c>
      <c r="AB9" s="1568">
        <f t="shared" si="4"/>
        <v>1</v>
      </c>
      <c r="AC9" s="1568">
        <f t="shared" si="5"/>
        <v>1</v>
      </c>
    </row>
    <row r="10" spans="1:29" s="1336" customFormat="1" ht="27">
      <c r="A10" s="2911"/>
      <c r="B10" s="2916" t="s">
        <v>2757</v>
      </c>
      <c r="C10" s="860" t="s">
        <v>3000</v>
      </c>
      <c r="D10" s="254">
        <v>100</v>
      </c>
      <c r="E10" s="860" t="s">
        <v>3000</v>
      </c>
      <c r="F10" s="862">
        <f>SUMIF(65:65,E10,66:66)-SUMIF(65:65,C10,66:66)+100</f>
        <v>100</v>
      </c>
      <c r="G10" s="860" t="s">
        <v>3000</v>
      </c>
      <c r="H10" s="254">
        <f>SUMIF(65:65,G10,66:66)-SUMIF(65:65,C10,66:66)+100</f>
        <v>100</v>
      </c>
      <c r="I10" s="860" t="s">
        <v>3000</v>
      </c>
      <c r="J10" s="254">
        <f>SUMIF(65:65,I10,66:66)-SUMIF(65:65,C10,66:66)+100</f>
        <v>100</v>
      </c>
      <c r="K10" s="863"/>
      <c r="L10" s="2134"/>
      <c r="M10" s="2174"/>
      <c r="N10" s="2174"/>
      <c r="O10" s="2135"/>
      <c r="P10" s="3401"/>
      <c r="Q10" s="3177" t="str">
        <f t="shared" si="6"/>
        <v>土地使用年限（年）</v>
      </c>
      <c r="R10" s="1565" t="s">
        <v>8</v>
      </c>
      <c r="S10" s="1566">
        <f t="shared" si="0"/>
        <v>100</v>
      </c>
      <c r="T10" s="1565" t="s">
        <v>8</v>
      </c>
      <c r="U10" s="1566">
        <f t="shared" si="1"/>
        <v>100</v>
      </c>
      <c r="V10" s="1565" t="s">
        <v>8</v>
      </c>
      <c r="W10" s="1566">
        <f t="shared" si="2"/>
        <v>100</v>
      </c>
      <c r="X10" s="1567"/>
      <c r="Y10" s="3343"/>
      <c r="Z10" s="3172" t="str">
        <f t="shared" si="7"/>
        <v>土地使用年限（年）</v>
      </c>
      <c r="AA10" s="1568">
        <f t="shared" si="3"/>
        <v>1</v>
      </c>
      <c r="AB10" s="1568">
        <f t="shared" si="4"/>
        <v>1</v>
      </c>
      <c r="AC10" s="1568">
        <f t="shared" si="5"/>
        <v>1</v>
      </c>
    </row>
    <row r="11" spans="1:29" ht="15.75" thickBot="1">
      <c r="A11" s="2912"/>
      <c r="B11" s="2916" t="s">
        <v>2758</v>
      </c>
      <c r="C11" s="532">
        <v>2.5</v>
      </c>
      <c r="D11" s="254">
        <v>100</v>
      </c>
      <c r="E11" s="533">
        <v>2.4</v>
      </c>
      <c r="F11" s="862">
        <f>LOOKUP(E11,68:68,69:69)-LOOKUP(C11,68:68,69:69)+100</f>
        <v>100</v>
      </c>
      <c r="G11" s="532">
        <v>3.4</v>
      </c>
      <c r="H11" s="254">
        <f>LOOKUP(G11,68:68,69:69)-LOOKUP(C11,68:68,69:69)+100</f>
        <v>95</v>
      </c>
      <c r="I11" s="532">
        <v>3</v>
      </c>
      <c r="J11" s="254">
        <f>LOOKUP(I11,68:68,69:69)-LOOKUP(C11,68:68,69:69)+100</f>
        <v>95</v>
      </c>
      <c r="K11" s="863">
        <f>'不动产比较法-平层住宅'!K11</f>
        <v>5</v>
      </c>
      <c r="L11" s="2136"/>
      <c r="M11" s="2130"/>
      <c r="N11" s="2130"/>
      <c r="O11" s="2137"/>
      <c r="P11" s="3401"/>
      <c r="Q11" s="3177" t="str">
        <f t="shared" si="6"/>
        <v>容积率</v>
      </c>
      <c r="R11" s="1565" t="s">
        <v>11</v>
      </c>
      <c r="S11" s="1566">
        <f t="shared" si="0"/>
        <v>100</v>
      </c>
      <c r="T11" s="1565" t="s">
        <v>11</v>
      </c>
      <c r="U11" s="1566">
        <f t="shared" si="1"/>
        <v>95</v>
      </c>
      <c r="V11" s="1565" t="s">
        <v>11</v>
      </c>
      <c r="W11" s="1566">
        <f t="shared" si="2"/>
        <v>95</v>
      </c>
      <c r="X11" s="1567"/>
      <c r="Y11" s="3343"/>
      <c r="Z11" s="3172" t="str">
        <f t="shared" si="7"/>
        <v>容积率</v>
      </c>
      <c r="AA11" s="1568">
        <f t="shared" si="3"/>
        <v>1</v>
      </c>
      <c r="AB11" s="1568">
        <f t="shared" si="4"/>
        <v>1.0526315789473684</v>
      </c>
      <c r="AC11" s="1568">
        <f t="shared" si="5"/>
        <v>1.0526315789473684</v>
      </c>
    </row>
    <row r="12" spans="1:29" s="1218" customFormat="1" ht="15.75" hidden="1" thickBot="1">
      <c r="A12" s="2913"/>
      <c r="B12" s="2919">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401"/>
      <c r="Q12" s="3177">
        <f t="shared" si="6"/>
        <v>111</v>
      </c>
      <c r="R12" s="1565" t="s">
        <v>11</v>
      </c>
      <c r="S12" s="1566">
        <f t="shared" si="0"/>
        <v>100</v>
      </c>
      <c r="T12" s="1565" t="s">
        <v>11</v>
      </c>
      <c r="U12" s="1566">
        <f t="shared" si="1"/>
        <v>100</v>
      </c>
      <c r="V12" s="1565" t="s">
        <v>11</v>
      </c>
      <c r="W12" s="1566">
        <f t="shared" si="2"/>
        <v>100</v>
      </c>
      <c r="X12" s="1567"/>
      <c r="Y12" s="3343"/>
      <c r="Z12" s="3172">
        <f t="shared" si="7"/>
        <v>111</v>
      </c>
      <c r="AA12" s="1568">
        <f>D12/F12</f>
        <v>1</v>
      </c>
      <c r="AB12" s="1568">
        <f>D12/H12</f>
        <v>1</v>
      </c>
      <c r="AC12" s="1568">
        <f>D12/J12</f>
        <v>1</v>
      </c>
    </row>
    <row r="13" spans="1:29" ht="15.75" hidden="1" thickBot="1">
      <c r="A13" s="2913"/>
      <c r="B13" s="2919">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401"/>
      <c r="Q13" s="3177">
        <f t="shared" si="6"/>
        <v>111</v>
      </c>
      <c r="R13" s="1565" t="s">
        <v>11</v>
      </c>
      <c r="S13" s="1566">
        <f t="shared" si="0"/>
        <v>100</v>
      </c>
      <c r="T13" s="1565" t="s">
        <v>11</v>
      </c>
      <c r="U13" s="1566">
        <f t="shared" si="1"/>
        <v>100</v>
      </c>
      <c r="V13" s="1565" t="s">
        <v>11</v>
      </c>
      <c r="W13" s="1566">
        <f t="shared" si="2"/>
        <v>100</v>
      </c>
      <c r="X13" s="1567"/>
      <c r="Y13" s="3343"/>
      <c r="Z13" s="3172">
        <f t="shared" si="7"/>
        <v>111</v>
      </c>
      <c r="AA13" s="1568">
        <f t="shared" si="3"/>
        <v>1</v>
      </c>
      <c r="AB13" s="1568">
        <f t="shared" si="4"/>
        <v>1</v>
      </c>
      <c r="AC13" s="1568">
        <f t="shared" si="5"/>
        <v>1</v>
      </c>
    </row>
    <row r="14" spans="1:29" ht="15.75" hidden="1" thickBot="1">
      <c r="A14" s="2914"/>
      <c r="B14" s="2920">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401"/>
      <c r="Q14" s="3177">
        <f t="shared" si="6"/>
        <v>111</v>
      </c>
      <c r="R14" s="1565" t="s">
        <v>11</v>
      </c>
      <c r="S14" s="1566">
        <f t="shared" si="0"/>
        <v>100</v>
      </c>
      <c r="T14" s="1565" t="s">
        <v>11</v>
      </c>
      <c r="U14" s="1566">
        <f t="shared" si="1"/>
        <v>100</v>
      </c>
      <c r="V14" s="1565" t="s">
        <v>11</v>
      </c>
      <c r="W14" s="1566">
        <f t="shared" si="2"/>
        <v>100</v>
      </c>
      <c r="X14" s="1567"/>
      <c r="Y14" s="3343"/>
      <c r="Z14" s="3172">
        <f t="shared" si="7"/>
        <v>111</v>
      </c>
      <c r="AA14" s="1568">
        <f t="shared" si="3"/>
        <v>1</v>
      </c>
      <c r="AB14" s="1568">
        <f t="shared" si="4"/>
        <v>1</v>
      </c>
      <c r="AC14" s="1568">
        <f t="shared" si="5"/>
        <v>1</v>
      </c>
    </row>
    <row r="15" spans="1:29" ht="121.5">
      <c r="A15" s="2906" t="s">
        <v>2754</v>
      </c>
      <c r="B15" s="166" t="s">
        <v>295</v>
      </c>
      <c r="C15" s="866" t="str">
        <f>估价对象房地状况!C3</f>
        <v>估价对象周边居住用地比例较大、居住小区规模较大和社区发展完善程度好，综合评价居住社区成熟度好。</v>
      </c>
      <c r="D15" s="548">
        <v>100</v>
      </c>
      <c r="E15" s="3187" t="s">
        <v>3009</v>
      </c>
      <c r="F15" s="550">
        <f>SUMIF(76:76,E16,77:77)-SUMIF(76:76,C16,77:77)+100</f>
        <v>100</v>
      </c>
      <c r="G15" s="3189" t="s">
        <v>3011</v>
      </c>
      <c r="H15" s="548">
        <f>SUMIF(76:76,G16,77:77)-SUMIF(76:76,C16,77:77)+100</f>
        <v>100</v>
      </c>
      <c r="I15" s="3189" t="s">
        <v>3012</v>
      </c>
      <c r="J15" s="548">
        <f>SUMIF(76:76,I16,77:77)-SUMIF(76:76,C16,77:77)+100</f>
        <v>100</v>
      </c>
      <c r="K15" s="867"/>
      <c r="L15" s="2138"/>
      <c r="M15" s="2130"/>
      <c r="N15" s="2130"/>
      <c r="O15" s="2137"/>
      <c r="P15" s="3436" t="s">
        <v>540</v>
      </c>
      <c r="Q15" s="3180" t="str">
        <f t="shared" si="6"/>
        <v>居住社区成熟度</v>
      </c>
      <c r="R15" s="1570" t="s">
        <v>11</v>
      </c>
      <c r="S15" s="1571">
        <f t="shared" si="0"/>
        <v>100</v>
      </c>
      <c r="T15" s="1570" t="s">
        <v>11</v>
      </c>
      <c r="U15" s="1571">
        <f t="shared" si="1"/>
        <v>100</v>
      </c>
      <c r="V15" s="1570" t="s">
        <v>11</v>
      </c>
      <c r="W15" s="1571">
        <f t="shared" si="2"/>
        <v>100</v>
      </c>
      <c r="X15" s="3182"/>
      <c r="Y15" s="3436" t="s">
        <v>540</v>
      </c>
      <c r="Z15" s="3181" t="str">
        <f t="shared" si="7"/>
        <v>居住社区成熟度</v>
      </c>
      <c r="AA15" s="3183">
        <f t="shared" si="3"/>
        <v>1</v>
      </c>
      <c r="AB15" s="3183">
        <f t="shared" si="4"/>
        <v>1</v>
      </c>
      <c r="AC15" s="3183">
        <f t="shared" si="5"/>
        <v>1</v>
      </c>
    </row>
    <row r="16" spans="1:29" ht="15">
      <c r="A16" s="531"/>
      <c r="B16" s="868"/>
      <c r="C16" s="575" t="s">
        <v>3002</v>
      </c>
      <c r="D16" s="554"/>
      <c r="E16" s="555" t="s">
        <v>3002</v>
      </c>
      <c r="F16" s="556"/>
      <c r="G16" s="557" t="s">
        <v>3002</v>
      </c>
      <c r="H16" s="558"/>
      <c r="I16" s="557" t="s">
        <v>3002</v>
      </c>
      <c r="J16" s="554"/>
      <c r="K16" s="869"/>
      <c r="L16" s="2138"/>
      <c r="M16" s="2130"/>
      <c r="N16" s="2130"/>
      <c r="O16" s="2137"/>
      <c r="P16" s="3437"/>
      <c r="Q16" s="3180"/>
      <c r="R16" s="1570"/>
      <c r="S16" s="1571"/>
      <c r="T16" s="1570"/>
      <c r="U16" s="1571"/>
      <c r="V16" s="1570"/>
      <c r="W16" s="1571"/>
      <c r="X16" s="3182"/>
      <c r="Y16" s="3437"/>
      <c r="Z16" s="3181"/>
      <c r="AA16" s="3183">
        <v>1</v>
      </c>
      <c r="AB16" s="3183">
        <v>1</v>
      </c>
      <c r="AC16" s="318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t="s">
        <v>3013</v>
      </c>
      <c r="F17" s="562">
        <f>SUMIF(78:78,E18,79:79)-SUMIF(78:78,C18,79:79)+100</f>
        <v>100</v>
      </c>
      <c r="G17" s="561" t="s">
        <v>3014</v>
      </c>
      <c r="H17" s="564">
        <f>SUMIF(78:78,G18,79:79)-SUMIF(78:78,C18,79:79)+100</f>
        <v>103</v>
      </c>
      <c r="I17" s="561" t="s">
        <v>3015</v>
      </c>
      <c r="J17" s="564">
        <f>SUMIF(78:78,I18,79:79)-SUMIF(78:78,C18,79:79)+100</f>
        <v>103</v>
      </c>
      <c r="K17" s="3212">
        <v>3</v>
      </c>
      <c r="L17" s="2138"/>
      <c r="M17" s="2130"/>
      <c r="N17" s="2130"/>
      <c r="O17" s="2137"/>
      <c r="P17" s="3437"/>
      <c r="Q17" s="3180" t="str">
        <f>B17</f>
        <v>交通便捷度</v>
      </c>
      <c r="R17" s="1570" t="s">
        <v>11</v>
      </c>
      <c r="S17" s="1571">
        <f>F17</f>
        <v>100</v>
      </c>
      <c r="T17" s="1570" t="s">
        <v>11</v>
      </c>
      <c r="U17" s="1571">
        <f>H17</f>
        <v>103</v>
      </c>
      <c r="V17" s="1570" t="s">
        <v>11</v>
      </c>
      <c r="W17" s="1571">
        <f>J17</f>
        <v>103</v>
      </c>
      <c r="X17" s="3182"/>
      <c r="Y17" s="3437"/>
      <c r="Z17" s="3181" t="str">
        <f>Q17</f>
        <v>交通便捷度</v>
      </c>
      <c r="AA17" s="3183">
        <f t="shared" si="3"/>
        <v>1</v>
      </c>
      <c r="AB17" s="3183">
        <f t="shared" si="4"/>
        <v>0.970873786407767</v>
      </c>
      <c r="AC17" s="3183">
        <f t="shared" si="5"/>
        <v>0.970873786407767</v>
      </c>
    </row>
    <row r="18" spans="1:29" ht="15">
      <c r="A18" s="531"/>
      <c r="B18" s="594"/>
      <c r="C18" s="872" t="s">
        <v>3003</v>
      </c>
      <c r="D18" s="558"/>
      <c r="E18" s="567" t="s">
        <v>3003</v>
      </c>
      <c r="F18" s="562"/>
      <c r="G18" s="568" t="s">
        <v>3002</v>
      </c>
      <c r="H18" s="554"/>
      <c r="I18" s="567" t="s">
        <v>3002</v>
      </c>
      <c r="J18" s="554"/>
      <c r="K18" s="869"/>
      <c r="L18" s="2138"/>
      <c r="M18" s="2130"/>
      <c r="N18" s="2130"/>
      <c r="O18" s="2137"/>
      <c r="P18" s="3437"/>
      <c r="Q18" s="3180"/>
      <c r="R18" s="1570"/>
      <c r="S18" s="1571"/>
      <c r="T18" s="1570"/>
      <c r="U18" s="1571"/>
      <c r="V18" s="1570"/>
      <c r="W18" s="1571"/>
      <c r="X18" s="3182"/>
      <c r="Y18" s="3437"/>
      <c r="Z18" s="3181"/>
      <c r="AA18" s="3183">
        <v>1</v>
      </c>
      <c r="AB18" s="3183">
        <v>1</v>
      </c>
      <c r="AC18" s="318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t="s">
        <v>3007</v>
      </c>
      <c r="F19" s="570">
        <f>SUMIF(80:80,E20,81:81)-SUMIF(80:80,C20,81:81)+100</f>
        <v>100</v>
      </c>
      <c r="G19" s="569" t="s">
        <v>3016</v>
      </c>
      <c r="H19" s="558">
        <f>SUMIF(80:80,G20,81:81)-SUMIF(80:80,C20,81:81)+100</f>
        <v>98</v>
      </c>
      <c r="I19" s="569" t="s">
        <v>3017</v>
      </c>
      <c r="J19" s="558">
        <f>SUMIF(80:80,I20,81:81)-SUMIF(80:80,C20,81:81)+100</f>
        <v>98</v>
      </c>
      <c r="K19" s="867">
        <f>'不动产比较法-平层住宅'!K19</f>
        <v>2</v>
      </c>
      <c r="L19" s="2138"/>
      <c r="M19" s="2130"/>
      <c r="N19" s="2130"/>
      <c r="O19" s="2137"/>
      <c r="P19" s="3437"/>
      <c r="Q19" s="3180" t="str">
        <f>B19</f>
        <v>公共配套设施</v>
      </c>
      <c r="R19" s="1570" t="s">
        <v>11</v>
      </c>
      <c r="S19" s="1571">
        <f>F19</f>
        <v>100</v>
      </c>
      <c r="T19" s="1570" t="s">
        <v>11</v>
      </c>
      <c r="U19" s="1571">
        <f>H19</f>
        <v>98</v>
      </c>
      <c r="V19" s="1570" t="s">
        <v>11</v>
      </c>
      <c r="W19" s="1571">
        <f>J19</f>
        <v>98</v>
      </c>
      <c r="X19" s="3182"/>
      <c r="Y19" s="3437"/>
      <c r="Z19" s="3181" t="str">
        <f>Q19</f>
        <v>公共配套设施</v>
      </c>
      <c r="AA19" s="3183">
        <f t="shared" si="3"/>
        <v>1</v>
      </c>
      <c r="AB19" s="3183">
        <f t="shared" si="4"/>
        <v>1.0204081632653061</v>
      </c>
      <c r="AC19" s="3183">
        <f t="shared" si="5"/>
        <v>1.0204081632653061</v>
      </c>
    </row>
    <row r="20" spans="1:29" ht="15">
      <c r="A20" s="531"/>
      <c r="B20" s="594"/>
      <c r="C20" s="575" t="s">
        <v>3002</v>
      </c>
      <c r="D20" s="554"/>
      <c r="E20" s="555" t="s">
        <v>3002</v>
      </c>
      <c r="F20" s="556"/>
      <c r="G20" s="557" t="s">
        <v>3003</v>
      </c>
      <c r="H20" s="554"/>
      <c r="I20" s="557" t="s">
        <v>3003</v>
      </c>
      <c r="J20" s="554"/>
      <c r="K20" s="869"/>
      <c r="L20" s="2138"/>
      <c r="M20" s="2130"/>
      <c r="N20" s="2130"/>
      <c r="O20" s="2137"/>
      <c r="P20" s="3437"/>
      <c r="Q20" s="3180"/>
      <c r="R20" s="1570"/>
      <c r="S20" s="1571"/>
      <c r="T20" s="1570"/>
      <c r="U20" s="1571"/>
      <c r="V20" s="1570"/>
      <c r="W20" s="1571"/>
      <c r="X20" s="3182"/>
      <c r="Y20" s="3437"/>
      <c r="Z20" s="3181"/>
      <c r="AA20" s="3183">
        <v>1</v>
      </c>
      <c r="AB20" s="3183">
        <v>1</v>
      </c>
      <c r="AC20" s="3183">
        <v>1</v>
      </c>
    </row>
    <row r="21" spans="1:29" ht="42.75">
      <c r="A21" s="531"/>
      <c r="B21" s="2589" t="s">
        <v>2547</v>
      </c>
      <c r="C21" s="871" t="str">
        <f>估价对象房地状况!C8</f>
        <v>估价对象所在区域基础设施水平达到“六通”。</v>
      </c>
      <c r="D21" s="564">
        <v>100</v>
      </c>
      <c r="E21" s="571" t="s">
        <v>3005</v>
      </c>
      <c r="F21" s="570">
        <f>SUMIF(82:82,E22,83:83)-SUMIF(82:82,C22,83:83)+100</f>
        <v>100</v>
      </c>
      <c r="G21" s="571" t="s">
        <v>3005</v>
      </c>
      <c r="H21" s="564">
        <f>SUMIF(82:82,G22,83:83)-SUMIF(82:82,C22,83:83)+100</f>
        <v>100</v>
      </c>
      <c r="I21" s="569" t="s">
        <v>3005</v>
      </c>
      <c r="J21" s="564">
        <f>SUMIF(82:82,I22,83:83)-SUMIF(82:82,C22,83:83)+100</f>
        <v>100</v>
      </c>
      <c r="K21" s="867"/>
      <c r="L21" s="2138"/>
      <c r="M21" s="2130"/>
      <c r="N21" s="2130"/>
      <c r="O21" s="2137"/>
      <c r="P21" s="3437"/>
      <c r="Q21" s="3180" t="str">
        <f>B21</f>
        <v>基础设施水平</v>
      </c>
      <c r="R21" s="1570" t="s">
        <v>11</v>
      </c>
      <c r="S21" s="1571">
        <f>F21</f>
        <v>100</v>
      </c>
      <c r="T21" s="1570" t="s">
        <v>11</v>
      </c>
      <c r="U21" s="1571">
        <f>H21</f>
        <v>100</v>
      </c>
      <c r="V21" s="1570" t="s">
        <v>11</v>
      </c>
      <c r="W21" s="1571">
        <f>J21</f>
        <v>100</v>
      </c>
      <c r="X21" s="3182"/>
      <c r="Y21" s="3437"/>
      <c r="Z21" s="3181" t="str">
        <f>Q21</f>
        <v>基础设施水平</v>
      </c>
      <c r="AA21" s="3183">
        <f t="shared" ref="AA21" si="8">D21/F21</f>
        <v>1</v>
      </c>
      <c r="AB21" s="3183">
        <f t="shared" ref="AB21" si="9">D21/H21</f>
        <v>1</v>
      </c>
      <c r="AC21" s="3183">
        <f t="shared" ref="AC21" si="10">D21/J21</f>
        <v>1</v>
      </c>
    </row>
    <row r="22" spans="1:29" ht="15">
      <c r="A22" s="531"/>
      <c r="B22" s="920"/>
      <c r="C22" s="872" t="s">
        <v>3004</v>
      </c>
      <c r="D22" s="554"/>
      <c r="E22" s="872" t="s">
        <v>3004</v>
      </c>
      <c r="F22" s="556"/>
      <c r="G22" s="872" t="s">
        <v>3004</v>
      </c>
      <c r="H22" s="554"/>
      <c r="I22" s="872" t="s">
        <v>3004</v>
      </c>
      <c r="J22" s="554"/>
      <c r="K22" s="2595"/>
      <c r="L22" s="2138"/>
      <c r="M22" s="2130"/>
      <c r="N22" s="2130"/>
      <c r="O22" s="2137"/>
      <c r="P22" s="3437"/>
      <c r="Q22" s="3180"/>
      <c r="R22" s="1570"/>
      <c r="S22" s="1571"/>
      <c r="T22" s="1570"/>
      <c r="U22" s="1571"/>
      <c r="V22" s="1570"/>
      <c r="W22" s="1571"/>
      <c r="X22" s="3182"/>
      <c r="Y22" s="3437"/>
      <c r="Z22" s="3181"/>
      <c r="AA22" s="3183">
        <v>1</v>
      </c>
      <c r="AB22" s="3183">
        <v>1</v>
      </c>
      <c r="AC22" s="3183">
        <v>1</v>
      </c>
    </row>
    <row r="23" spans="1:29" ht="99.75">
      <c r="A23" s="531"/>
      <c r="B23" s="870" t="s">
        <v>297</v>
      </c>
      <c r="C23" s="871" t="str">
        <f>估价对象房地状况!C9</f>
        <v>区域自然环境：爱民园、于山风景区等；人文环境：孝悌图书馆、福建大剧院；综合评价环境状况较好。</v>
      </c>
      <c r="D23" s="558">
        <v>100</v>
      </c>
      <c r="E23" s="3188" t="s">
        <v>3010</v>
      </c>
      <c r="F23" s="562">
        <f>SUMIF(84:84,E24,85:85)-SUMIF(84:84,C24,85:85)+100</f>
        <v>100</v>
      </c>
      <c r="G23" s="3188" t="s">
        <v>3018</v>
      </c>
      <c r="H23" s="558">
        <f>SUMIF(84:84,G24,85:85)-SUMIF(84:84,C24,85:85)+100</f>
        <v>98</v>
      </c>
      <c r="I23" s="3188" t="s">
        <v>3019</v>
      </c>
      <c r="J23" s="558">
        <f>SUMIF(84:84,I24,85:85)-SUMIF(84:84,C24,85:85)+100</f>
        <v>98</v>
      </c>
      <c r="K23" s="867">
        <f>'不动产比较法-平层住宅'!K23</f>
        <v>2</v>
      </c>
      <c r="L23" s="2138"/>
      <c r="M23" s="2130"/>
      <c r="N23" s="2130"/>
      <c r="O23" s="2137"/>
      <c r="P23" s="3437"/>
      <c r="Q23" s="3180" t="str">
        <f>B23</f>
        <v>自然及人文环境</v>
      </c>
      <c r="R23" s="1570" t="s">
        <v>11</v>
      </c>
      <c r="S23" s="1571">
        <f>F23</f>
        <v>100</v>
      </c>
      <c r="T23" s="1570" t="s">
        <v>11</v>
      </c>
      <c r="U23" s="1571">
        <f>H23</f>
        <v>98</v>
      </c>
      <c r="V23" s="1570" t="s">
        <v>11</v>
      </c>
      <c r="W23" s="1571">
        <f>J23</f>
        <v>98</v>
      </c>
      <c r="X23" s="3182"/>
      <c r="Y23" s="3437"/>
      <c r="Z23" s="3181" t="str">
        <f>Q23</f>
        <v>自然及人文环境</v>
      </c>
      <c r="AA23" s="3183">
        <f t="shared" si="3"/>
        <v>1</v>
      </c>
      <c r="AB23" s="3183">
        <f t="shared" si="4"/>
        <v>1.0204081632653061</v>
      </c>
      <c r="AC23" s="3183">
        <f t="shared" si="5"/>
        <v>1.0204081632653061</v>
      </c>
    </row>
    <row r="24" spans="1:29" ht="15">
      <c r="A24" s="531"/>
      <c r="B24" s="594"/>
      <c r="C24" s="575" t="s">
        <v>3003</v>
      </c>
      <c r="D24" s="554"/>
      <c r="E24" s="555" t="s">
        <v>3003</v>
      </c>
      <c r="F24" s="556"/>
      <c r="G24" s="557" t="s">
        <v>3020</v>
      </c>
      <c r="H24" s="554"/>
      <c r="I24" s="555" t="s">
        <v>3020</v>
      </c>
      <c r="J24" s="554"/>
      <c r="K24" s="869"/>
      <c r="L24" s="2138"/>
      <c r="M24" s="2130"/>
      <c r="N24" s="2130"/>
      <c r="O24" s="2137"/>
      <c r="P24" s="3437"/>
      <c r="Q24" s="3180"/>
      <c r="R24" s="1570"/>
      <c r="S24" s="1571"/>
      <c r="T24" s="1570"/>
      <c r="U24" s="1571"/>
      <c r="V24" s="1570"/>
      <c r="W24" s="1571"/>
      <c r="X24" s="3182"/>
      <c r="Y24" s="3437"/>
      <c r="Z24" s="3181"/>
      <c r="AA24" s="3183">
        <v>1</v>
      </c>
      <c r="AB24" s="3183">
        <v>1</v>
      </c>
      <c r="AC24" s="3183">
        <v>1</v>
      </c>
    </row>
    <row r="25" spans="1:29" ht="15">
      <c r="A25" s="531"/>
      <c r="B25" s="1891" t="s">
        <v>2257</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7"/>
      <c r="Q25" s="3180" t="str">
        <f t="shared" ref="Q25:Q46" si="11">B25</f>
        <v>楼层-1</v>
      </c>
      <c r="R25" s="1570" t="s">
        <v>11</v>
      </c>
      <c r="S25" s="1571">
        <f>F25</f>
        <v>100</v>
      </c>
      <c r="T25" s="1570" t="s">
        <v>11</v>
      </c>
      <c r="U25" s="1571">
        <f>H25</f>
        <v>100</v>
      </c>
      <c r="V25" s="1570" t="s">
        <v>11</v>
      </c>
      <c r="W25" s="1571">
        <f>J25</f>
        <v>100</v>
      </c>
      <c r="X25" s="3182"/>
      <c r="Y25" s="3437"/>
      <c r="Z25" s="3181" t="str">
        <f>Q25</f>
        <v>楼层-1</v>
      </c>
      <c r="AA25" s="3183">
        <f t="shared" si="3"/>
        <v>1</v>
      </c>
      <c r="AB25" s="3183">
        <f t="shared" si="4"/>
        <v>1</v>
      </c>
      <c r="AC25" s="3183">
        <f t="shared" si="5"/>
        <v>1</v>
      </c>
    </row>
    <row r="26" spans="1:29" ht="15.75"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7"/>
      <c r="Q26" s="3180" t="str">
        <f t="shared" si="11"/>
        <v>朝向</v>
      </c>
      <c r="R26" s="1570" t="s">
        <v>11</v>
      </c>
      <c r="S26" s="1571">
        <f>F26</f>
        <v>100</v>
      </c>
      <c r="T26" s="1570" t="s">
        <v>11</v>
      </c>
      <c r="U26" s="1571">
        <f>H26</f>
        <v>100</v>
      </c>
      <c r="V26" s="1570" t="s">
        <v>11</v>
      </c>
      <c r="W26" s="1571">
        <f>J26</f>
        <v>100</v>
      </c>
      <c r="X26" s="3182"/>
      <c r="Y26" s="3437"/>
      <c r="Z26" s="3181" t="str">
        <f>Q26</f>
        <v>朝向</v>
      </c>
      <c r="AA26" s="3183">
        <f t="shared" si="3"/>
        <v>1</v>
      </c>
      <c r="AB26" s="3183">
        <f t="shared" si="4"/>
        <v>1</v>
      </c>
      <c r="AC26" s="3183">
        <f t="shared" si="5"/>
        <v>1</v>
      </c>
    </row>
    <row r="27" spans="1:29" s="1218" customFormat="1" ht="15.75" hidden="1" thickBot="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7"/>
      <c r="Q27" s="3177" t="str">
        <f t="shared" si="11"/>
        <v>道路级别</v>
      </c>
      <c r="R27" s="1565" t="s">
        <v>11</v>
      </c>
      <c r="S27" s="1566">
        <f>F27</f>
        <v>100</v>
      </c>
      <c r="T27" s="1565" t="s">
        <v>11</v>
      </c>
      <c r="U27" s="1566">
        <f>H27</f>
        <v>100</v>
      </c>
      <c r="V27" s="1565" t="s">
        <v>11</v>
      </c>
      <c r="W27" s="1566">
        <f>J27</f>
        <v>100</v>
      </c>
      <c r="X27" s="1567"/>
      <c r="Y27" s="3437"/>
      <c r="Z27" s="3172" t="str">
        <f>Q27</f>
        <v>道路级别</v>
      </c>
      <c r="AA27" s="3183">
        <f>D27/F27</f>
        <v>1</v>
      </c>
      <c r="AB27" s="3183">
        <f>D27/H27</f>
        <v>1</v>
      </c>
      <c r="AC27" s="3183">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7"/>
      <c r="Q28" s="3180">
        <f t="shared" si="11"/>
        <v>111</v>
      </c>
      <c r="R28" s="1570" t="s">
        <v>11</v>
      </c>
      <c r="S28" s="1571">
        <f t="shared" ref="S28:S46" si="12">F28</f>
        <v>100</v>
      </c>
      <c r="T28" s="1570" t="s">
        <v>11</v>
      </c>
      <c r="U28" s="1571">
        <f t="shared" ref="U28:U46" si="13">H28</f>
        <v>100</v>
      </c>
      <c r="V28" s="1570" t="s">
        <v>11</v>
      </c>
      <c r="W28" s="1571">
        <f t="shared" ref="W28:W46" si="14">J28</f>
        <v>100</v>
      </c>
      <c r="X28" s="3182"/>
      <c r="Y28" s="3437"/>
      <c r="Z28" s="3181">
        <f t="shared" ref="Z28:Z46" si="15">Q28</f>
        <v>111</v>
      </c>
      <c r="AA28" s="3183">
        <f t="shared" si="3"/>
        <v>1</v>
      </c>
      <c r="AB28" s="3183">
        <f t="shared" si="4"/>
        <v>1</v>
      </c>
      <c r="AC28" s="3183">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7"/>
      <c r="Q29" s="3180">
        <f t="shared" si="11"/>
        <v>111</v>
      </c>
      <c r="R29" s="1570" t="s">
        <v>11</v>
      </c>
      <c r="S29" s="1571">
        <f t="shared" si="12"/>
        <v>100</v>
      </c>
      <c r="T29" s="1570" t="s">
        <v>11</v>
      </c>
      <c r="U29" s="1571">
        <f t="shared" si="13"/>
        <v>100</v>
      </c>
      <c r="V29" s="1570" t="s">
        <v>11</v>
      </c>
      <c r="W29" s="1571">
        <f t="shared" si="14"/>
        <v>100</v>
      </c>
      <c r="X29" s="3182"/>
      <c r="Y29" s="3437"/>
      <c r="Z29" s="3181">
        <f t="shared" si="15"/>
        <v>111</v>
      </c>
      <c r="AA29" s="3183">
        <f t="shared" si="3"/>
        <v>1</v>
      </c>
      <c r="AB29" s="3183">
        <f t="shared" si="4"/>
        <v>1</v>
      </c>
      <c r="AC29" s="3183">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7"/>
      <c r="Q30" s="3180">
        <f t="shared" si="11"/>
        <v>111</v>
      </c>
      <c r="R30" s="1570" t="s">
        <v>11</v>
      </c>
      <c r="S30" s="1571">
        <f t="shared" si="12"/>
        <v>100</v>
      </c>
      <c r="T30" s="1570" t="s">
        <v>11</v>
      </c>
      <c r="U30" s="1571">
        <f t="shared" si="13"/>
        <v>100</v>
      </c>
      <c r="V30" s="1570" t="s">
        <v>11</v>
      </c>
      <c r="W30" s="1571">
        <f t="shared" si="14"/>
        <v>100</v>
      </c>
      <c r="X30" s="3182"/>
      <c r="Y30" s="3437"/>
      <c r="Z30" s="3181">
        <f t="shared" si="15"/>
        <v>111</v>
      </c>
      <c r="AA30" s="3183">
        <f t="shared" si="3"/>
        <v>1</v>
      </c>
      <c r="AB30" s="3183">
        <f t="shared" si="4"/>
        <v>1</v>
      </c>
      <c r="AC30" s="3183">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7"/>
      <c r="Q31" s="3180">
        <f t="shared" si="11"/>
        <v>111</v>
      </c>
      <c r="R31" s="1570" t="s">
        <v>11</v>
      </c>
      <c r="S31" s="1571">
        <f t="shared" si="12"/>
        <v>100</v>
      </c>
      <c r="T31" s="1570" t="s">
        <v>11</v>
      </c>
      <c r="U31" s="1571">
        <f t="shared" si="13"/>
        <v>100</v>
      </c>
      <c r="V31" s="1570" t="s">
        <v>11</v>
      </c>
      <c r="W31" s="1571">
        <f t="shared" si="14"/>
        <v>100</v>
      </c>
      <c r="X31" s="3182"/>
      <c r="Y31" s="3437"/>
      <c r="Z31" s="3181">
        <f t="shared" si="15"/>
        <v>111</v>
      </c>
      <c r="AA31" s="3183">
        <f t="shared" si="3"/>
        <v>1</v>
      </c>
      <c r="AB31" s="3183">
        <f t="shared" si="4"/>
        <v>1</v>
      </c>
      <c r="AC31" s="3183">
        <f t="shared" si="5"/>
        <v>1</v>
      </c>
    </row>
    <row r="32" spans="1:29" ht="15">
      <c r="A32" s="2903" t="s">
        <v>2755</v>
      </c>
      <c r="B32" s="172" t="s">
        <v>725</v>
      </c>
      <c r="C32" s="877" t="s">
        <v>3207</v>
      </c>
      <c r="D32" s="596">
        <v>100</v>
      </c>
      <c r="E32" s="877" t="s">
        <v>3050</v>
      </c>
      <c r="F32" s="574">
        <f>SUMIF(100:100,E32,101:101)-SUMIF(100:100,C32,101:101)+100</f>
        <v>95</v>
      </c>
      <c r="G32" s="877" t="s">
        <v>3050</v>
      </c>
      <c r="H32" s="596">
        <f>SUMIF(100:100,G32,101:101)-SUMIF(100:100,C32,101:101)+100</f>
        <v>95</v>
      </c>
      <c r="I32" s="877" t="s">
        <v>3050</v>
      </c>
      <c r="J32" s="539">
        <f>SUMIF(100:100,I32,101:101)-SUMIF(100:100,C32,101:101)+100</f>
        <v>95</v>
      </c>
      <c r="K32" s="3210">
        <v>5</v>
      </c>
      <c r="L32" s="2138"/>
      <c r="M32" s="2130"/>
      <c r="N32" s="2130"/>
      <c r="O32" s="2137"/>
      <c r="P32" s="3438" t="s">
        <v>550</v>
      </c>
      <c r="Q32" s="3180" t="str">
        <f t="shared" si="11"/>
        <v>建筑类型</v>
      </c>
      <c r="R32" s="1570" t="s">
        <v>11</v>
      </c>
      <c r="S32" s="1571">
        <f t="shared" si="12"/>
        <v>95</v>
      </c>
      <c r="T32" s="1570" t="s">
        <v>11</v>
      </c>
      <c r="U32" s="1571">
        <f t="shared" si="13"/>
        <v>95</v>
      </c>
      <c r="V32" s="1570" t="s">
        <v>11</v>
      </c>
      <c r="W32" s="1571">
        <f t="shared" si="14"/>
        <v>95</v>
      </c>
      <c r="X32" s="3182"/>
      <c r="Y32" s="3439" t="s">
        <v>550</v>
      </c>
      <c r="Z32" s="3181" t="str">
        <f t="shared" si="15"/>
        <v>建筑类型</v>
      </c>
      <c r="AA32" s="3183">
        <f t="shared" si="3"/>
        <v>1.0526315789473684</v>
      </c>
      <c r="AB32" s="3183">
        <f t="shared" si="4"/>
        <v>1.0526315789473684</v>
      </c>
      <c r="AC32" s="3183">
        <f t="shared" si="5"/>
        <v>1.0526315789473684</v>
      </c>
    </row>
    <row r="33" spans="1:29" s="1337" customFormat="1" ht="15">
      <c r="A33" s="602"/>
      <c r="B33" s="526" t="s">
        <v>726</v>
      </c>
      <c r="C33" s="878">
        <v>85934.7</v>
      </c>
      <c r="D33" s="254">
        <v>100</v>
      </c>
      <c r="E33" s="533">
        <v>75000</v>
      </c>
      <c r="F33" s="862">
        <f>LOOKUP(E33,103:103,104:104)-LOOKUP(C33,103:103,104:104)+100</f>
        <v>100</v>
      </c>
      <c r="G33" s="532">
        <v>204200</v>
      </c>
      <c r="H33" s="254">
        <f>LOOKUP(G33,103:103,104:104)-LOOKUP(C33,103:103,104:104)+100</f>
        <v>102</v>
      </c>
      <c r="I33" s="533">
        <v>334332</v>
      </c>
      <c r="J33" s="254">
        <f>LOOKUP(I33,103:103,104:104)-LOOKUP(C33,103:103,104:104)+100</f>
        <v>103</v>
      </c>
      <c r="K33" s="864"/>
      <c r="L33" s="2136"/>
      <c r="M33" s="2167"/>
      <c r="N33" s="2167"/>
      <c r="O33" s="2139"/>
      <c r="P33" s="3439"/>
      <c r="Q33" s="1602" t="str">
        <f t="shared" si="11"/>
        <v>项目建筑规模</v>
      </c>
      <c r="R33" s="1574" t="s">
        <v>11</v>
      </c>
      <c r="S33" s="1575">
        <f t="shared" si="12"/>
        <v>100</v>
      </c>
      <c r="T33" s="1574" t="s">
        <v>11</v>
      </c>
      <c r="U33" s="1575">
        <f t="shared" si="13"/>
        <v>102</v>
      </c>
      <c r="V33" s="1574" t="s">
        <v>11</v>
      </c>
      <c r="W33" s="1575">
        <f t="shared" si="14"/>
        <v>103</v>
      </c>
      <c r="X33" s="1576"/>
      <c r="Y33" s="3439"/>
      <c r="Z33" s="1577" t="str">
        <f t="shared" si="15"/>
        <v>项目建筑规模</v>
      </c>
      <c r="AA33" s="3183">
        <f t="shared" si="3"/>
        <v>1</v>
      </c>
      <c r="AB33" s="3183">
        <f t="shared" si="4"/>
        <v>0.98039215686274506</v>
      </c>
      <c r="AC33" s="3183">
        <f t="shared" si="5"/>
        <v>0.970873786407767</v>
      </c>
    </row>
    <row r="34" spans="1:29" ht="15">
      <c r="A34" s="593"/>
      <c r="B34" s="526" t="s">
        <v>727</v>
      </c>
      <c r="C34" s="879" t="s">
        <v>3028</v>
      </c>
      <c r="D34" s="539">
        <v>100</v>
      </c>
      <c r="E34" s="880" t="s">
        <v>3028</v>
      </c>
      <c r="F34" s="574">
        <f>SUMIF(105:105,E34,106:106)-SUMIF(105:105,C34,106:106)+100</f>
        <v>100</v>
      </c>
      <c r="G34" s="879" t="s">
        <v>3028</v>
      </c>
      <c r="H34" s="539">
        <f>SUMIF(105:105,G34,106:106)-SUMIF(105:105,C34,106:106)+100</f>
        <v>100</v>
      </c>
      <c r="I34" s="880" t="s">
        <v>3028</v>
      </c>
      <c r="J34" s="539">
        <f>SUMIF(105:105,I34,106:106)-SUMIF(105:105,C34,106:106)+100</f>
        <v>100</v>
      </c>
      <c r="K34" s="863"/>
      <c r="L34" s="2138"/>
      <c r="M34" s="2130"/>
      <c r="N34" s="2130"/>
      <c r="O34" s="2137"/>
      <c r="P34" s="3439"/>
      <c r="Q34" s="3180" t="str">
        <f t="shared" si="11"/>
        <v>建筑结构</v>
      </c>
      <c r="R34" s="1570" t="s">
        <v>11</v>
      </c>
      <c r="S34" s="1571">
        <f t="shared" si="12"/>
        <v>100</v>
      </c>
      <c r="T34" s="1570" t="s">
        <v>11</v>
      </c>
      <c r="U34" s="1571">
        <f t="shared" si="13"/>
        <v>100</v>
      </c>
      <c r="V34" s="1570" t="s">
        <v>11</v>
      </c>
      <c r="W34" s="1571">
        <f t="shared" si="14"/>
        <v>100</v>
      </c>
      <c r="X34" s="3182"/>
      <c r="Y34" s="3439"/>
      <c r="Z34" s="3181" t="str">
        <f t="shared" si="15"/>
        <v>建筑结构</v>
      </c>
      <c r="AA34" s="3183">
        <f t="shared" si="3"/>
        <v>1</v>
      </c>
      <c r="AB34" s="3183">
        <f t="shared" si="4"/>
        <v>1</v>
      </c>
      <c r="AC34" s="3183">
        <f t="shared" si="5"/>
        <v>1</v>
      </c>
    </row>
    <row r="35" spans="1:29" ht="15">
      <c r="A35" s="593"/>
      <c r="B35" s="526" t="s">
        <v>728</v>
      </c>
      <c r="C35" s="598" t="s">
        <v>3002</v>
      </c>
      <c r="D35" s="539">
        <v>100</v>
      </c>
      <c r="E35" s="873" t="s">
        <v>3002</v>
      </c>
      <c r="F35" s="574">
        <f>SUMIF(107:107,E35,108:108)-SUMIF(107:107,C35,108:108)+100</f>
        <v>100</v>
      </c>
      <c r="G35" s="598" t="s">
        <v>3002</v>
      </c>
      <c r="H35" s="539">
        <f>SUMIF(107:107,G35,108:108)-SUMIF(107:107,C35,108:108)+100</f>
        <v>100</v>
      </c>
      <c r="I35" s="873" t="s">
        <v>3003</v>
      </c>
      <c r="J35" s="539">
        <f>SUMIF(107:107,I35,108:108)-SUMIF(107:107,C35,108:108)+100</f>
        <v>97</v>
      </c>
      <c r="K35" s="863">
        <f>'不动产比较法-平层住宅'!K35</f>
        <v>3</v>
      </c>
      <c r="L35" s="2138"/>
      <c r="M35" s="2130"/>
      <c r="N35" s="2130"/>
      <c r="O35" s="2137"/>
      <c r="P35" s="3439"/>
      <c r="Q35" s="3180" t="str">
        <f t="shared" si="11"/>
        <v>建筑品质</v>
      </c>
      <c r="R35" s="1570" t="s">
        <v>11</v>
      </c>
      <c r="S35" s="1571">
        <f t="shared" si="12"/>
        <v>100</v>
      </c>
      <c r="T35" s="1570" t="s">
        <v>11</v>
      </c>
      <c r="U35" s="1571">
        <f t="shared" si="13"/>
        <v>100</v>
      </c>
      <c r="V35" s="1570" t="s">
        <v>11</v>
      </c>
      <c r="W35" s="1571">
        <f t="shared" si="14"/>
        <v>97</v>
      </c>
      <c r="X35" s="3182"/>
      <c r="Y35" s="3439"/>
      <c r="Z35" s="3181" t="str">
        <f t="shared" si="15"/>
        <v>建筑品质</v>
      </c>
      <c r="AA35" s="3183">
        <f t="shared" si="3"/>
        <v>1</v>
      </c>
      <c r="AB35" s="3183">
        <f t="shared" si="4"/>
        <v>1</v>
      </c>
      <c r="AC35" s="3183">
        <f t="shared" si="5"/>
        <v>1.0309278350515463</v>
      </c>
    </row>
    <row r="36" spans="1:29" ht="15">
      <c r="A36" s="593"/>
      <c r="B36" s="526" t="s">
        <v>729</v>
      </c>
      <c r="C36" s="598" t="s">
        <v>3033</v>
      </c>
      <c r="D36" s="539">
        <v>100</v>
      </c>
      <c r="E36" s="598" t="s">
        <v>3033</v>
      </c>
      <c r="F36" s="574">
        <f>SUMIF(109:109,E36,110:110)-SUMIF(109:109,C36,110:110)+100</f>
        <v>100</v>
      </c>
      <c r="G36" s="598" t="s">
        <v>3033</v>
      </c>
      <c r="H36" s="539">
        <f>SUMIF(109:109,G36,110:110)-SUMIF(109:109,C36,110:110)+100</f>
        <v>100</v>
      </c>
      <c r="I36" s="598" t="s">
        <v>3033</v>
      </c>
      <c r="J36" s="539">
        <f>SUMIF(109:109,I36,110:110)-SUMIF(109:109,C36,110:110)+100</f>
        <v>100</v>
      </c>
      <c r="K36" s="863"/>
      <c r="L36" s="2138"/>
      <c r="M36" s="2130"/>
      <c r="N36" s="2130"/>
      <c r="O36" s="2137"/>
      <c r="P36" s="3439"/>
      <c r="Q36" s="3180" t="str">
        <f t="shared" si="11"/>
        <v>公共部分装修</v>
      </c>
      <c r="R36" s="1570" t="s">
        <v>11</v>
      </c>
      <c r="S36" s="1571">
        <f t="shared" si="12"/>
        <v>100</v>
      </c>
      <c r="T36" s="1570" t="s">
        <v>11</v>
      </c>
      <c r="U36" s="1571">
        <f t="shared" si="13"/>
        <v>100</v>
      </c>
      <c r="V36" s="1570" t="s">
        <v>11</v>
      </c>
      <c r="W36" s="1571">
        <f t="shared" si="14"/>
        <v>100</v>
      </c>
      <c r="X36" s="3182"/>
      <c r="Y36" s="3439"/>
      <c r="Z36" s="3181" t="str">
        <f t="shared" si="15"/>
        <v>公共部分装修</v>
      </c>
      <c r="AA36" s="3183">
        <f t="shared" si="3"/>
        <v>1</v>
      </c>
      <c r="AB36" s="3183">
        <f t="shared" si="4"/>
        <v>1</v>
      </c>
      <c r="AC36" s="3183">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c r="L37" s="2131"/>
      <c r="M37" s="2132"/>
      <c r="N37" s="2132"/>
      <c r="O37" s="2133"/>
      <c r="P37" s="3439"/>
      <c r="Q37" s="3177" t="str">
        <f t="shared" si="11"/>
        <v>成新度</v>
      </c>
      <c r="R37" s="1565" t="s">
        <v>11</v>
      </c>
      <c r="S37" s="1566">
        <f t="shared" si="12"/>
        <v>100</v>
      </c>
      <c r="T37" s="1565" t="s">
        <v>11</v>
      </c>
      <c r="U37" s="1566">
        <f t="shared" si="13"/>
        <v>100</v>
      </c>
      <c r="V37" s="1565" t="s">
        <v>11</v>
      </c>
      <c r="W37" s="1566">
        <f t="shared" si="14"/>
        <v>100</v>
      </c>
      <c r="X37" s="1567"/>
      <c r="Y37" s="3439"/>
      <c r="Z37" s="3172" t="str">
        <f t="shared" si="15"/>
        <v>成新度</v>
      </c>
      <c r="AA37" s="1568">
        <f t="shared" si="3"/>
        <v>1</v>
      </c>
      <c r="AB37" s="1568">
        <f t="shared" si="4"/>
        <v>1</v>
      </c>
      <c r="AC37" s="1568">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9" t="s">
        <v>550</v>
      </c>
      <c r="Q38" s="3180" t="str">
        <f t="shared" si="11"/>
        <v>物业管理</v>
      </c>
      <c r="R38" s="1570" t="s">
        <v>11</v>
      </c>
      <c r="S38" s="1571">
        <f t="shared" si="12"/>
        <v>100</v>
      </c>
      <c r="T38" s="1570" t="s">
        <v>11</v>
      </c>
      <c r="U38" s="1571">
        <f t="shared" si="13"/>
        <v>100</v>
      </c>
      <c r="V38" s="1570" t="s">
        <v>11</v>
      </c>
      <c r="W38" s="1571">
        <f t="shared" si="14"/>
        <v>100</v>
      </c>
      <c r="X38" s="3182"/>
      <c r="Y38" s="3439" t="s">
        <v>550</v>
      </c>
      <c r="Z38" s="3181" t="str">
        <f t="shared" si="15"/>
        <v>物业管理</v>
      </c>
      <c r="AA38" s="3183">
        <f t="shared" si="3"/>
        <v>1</v>
      </c>
      <c r="AB38" s="3183">
        <f t="shared" si="4"/>
        <v>1</v>
      </c>
      <c r="AC38" s="3183">
        <f t="shared" si="5"/>
        <v>1</v>
      </c>
    </row>
    <row r="39" spans="1:29" ht="15">
      <c r="A39" s="593"/>
      <c r="B39" s="1891" t="s">
        <v>2564</v>
      </c>
      <c r="C39" s="598" t="s">
        <v>3004</v>
      </c>
      <c r="D39" s="539">
        <v>100</v>
      </c>
      <c r="E39" s="598" t="s">
        <v>3004</v>
      </c>
      <c r="F39" s="574">
        <f>SUMIF(116:116,E39,117:117)-SUMIF(116:116,C39,117:117)+100</f>
        <v>100</v>
      </c>
      <c r="G39" s="598" t="s">
        <v>3004</v>
      </c>
      <c r="H39" s="539">
        <f>SUMIF(116:116,G39,117:117)-SUMIF(116:116,C39,117:117)+100</f>
        <v>100</v>
      </c>
      <c r="I39" s="598" t="s">
        <v>3004</v>
      </c>
      <c r="J39" s="539">
        <f>SUMIF(116:116,I39,117:117)-SUMIF(116:116,C39,117:117)+100</f>
        <v>100</v>
      </c>
      <c r="K39" s="863"/>
      <c r="L39" s="2138"/>
      <c r="M39" s="2130"/>
      <c r="N39" s="2130"/>
      <c r="O39" s="2137"/>
      <c r="P39" s="3439"/>
      <c r="Q39" s="3180" t="str">
        <f t="shared" si="11"/>
        <v>市政基础设施</v>
      </c>
      <c r="R39" s="1570" t="s">
        <v>11</v>
      </c>
      <c r="S39" s="1571">
        <f t="shared" si="12"/>
        <v>100</v>
      </c>
      <c r="T39" s="1570" t="s">
        <v>11</v>
      </c>
      <c r="U39" s="1571">
        <f t="shared" si="13"/>
        <v>100</v>
      </c>
      <c r="V39" s="1570" t="s">
        <v>11</v>
      </c>
      <c r="W39" s="1571">
        <f t="shared" si="14"/>
        <v>100</v>
      </c>
      <c r="X39" s="3182"/>
      <c r="Y39" s="3439"/>
      <c r="Z39" s="3181" t="str">
        <f t="shared" si="15"/>
        <v>市政基础设施</v>
      </c>
      <c r="AA39" s="3183">
        <f t="shared" si="3"/>
        <v>1</v>
      </c>
      <c r="AB39" s="3183">
        <f t="shared" si="4"/>
        <v>1</v>
      </c>
      <c r="AC39" s="3183">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9"/>
      <c r="Q40" s="3180" t="str">
        <f t="shared" si="11"/>
        <v>房型</v>
      </c>
      <c r="R40" s="1570" t="s">
        <v>11</v>
      </c>
      <c r="S40" s="1571">
        <f t="shared" si="12"/>
        <v>100</v>
      </c>
      <c r="T40" s="1570" t="s">
        <v>11</v>
      </c>
      <c r="U40" s="1571">
        <f t="shared" si="13"/>
        <v>100</v>
      </c>
      <c r="V40" s="1570" t="s">
        <v>11</v>
      </c>
      <c r="W40" s="1571">
        <f t="shared" si="14"/>
        <v>100</v>
      </c>
      <c r="X40" s="3182"/>
      <c r="Y40" s="3439"/>
      <c r="Z40" s="3181" t="str">
        <f t="shared" si="15"/>
        <v>房型</v>
      </c>
      <c r="AA40" s="3183">
        <f t="shared" si="3"/>
        <v>1</v>
      </c>
      <c r="AB40" s="3183">
        <f t="shared" si="4"/>
        <v>1</v>
      </c>
      <c r="AC40" s="3183">
        <f t="shared" si="5"/>
        <v>1</v>
      </c>
    </row>
    <row r="41" spans="1:29" s="1337" customFormat="1" ht="28.5">
      <c r="A41" s="602"/>
      <c r="B41" s="526" t="s">
        <v>733</v>
      </c>
      <c r="C41" s="878" t="s">
        <v>3047</v>
      </c>
      <c r="D41" s="254">
        <v>100</v>
      </c>
      <c r="E41" s="533" t="s">
        <v>3044</v>
      </c>
      <c r="F41" s="862">
        <f>SUMIF(120:120,E41,121:121)-SUMIF(120:120,C41,121:121)+100</f>
        <v>100</v>
      </c>
      <c r="G41" s="532" t="s">
        <v>3045</v>
      </c>
      <c r="H41" s="254">
        <f>SUMIF(120:120,G41,121:121)-SUMIF(120:120,C41,121:121)+100</f>
        <v>100</v>
      </c>
      <c r="I41" s="585" t="s">
        <v>3046</v>
      </c>
      <c r="J41" s="539">
        <f>SUMIF(120:120,I41,121:121)-SUMIF(120:120,C41,121:121)+100</f>
        <v>100</v>
      </c>
      <c r="K41" s="864"/>
      <c r="L41" s="2136"/>
      <c r="M41" s="2167"/>
      <c r="N41" s="2167"/>
      <c r="O41" s="2139"/>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3183">
        <f t="shared" si="3"/>
        <v>1</v>
      </c>
      <c r="AB41" s="3183">
        <f t="shared" si="4"/>
        <v>1</v>
      </c>
      <c r="AC41" s="3183">
        <f t="shared" si="5"/>
        <v>1</v>
      </c>
    </row>
    <row r="42" spans="1:29" ht="15">
      <c r="A42" s="593"/>
      <c r="B42" s="526" t="s">
        <v>734</v>
      </c>
      <c r="C42" s="598" t="s">
        <v>3036</v>
      </c>
      <c r="D42" s="539">
        <v>100</v>
      </c>
      <c r="E42" s="598" t="s">
        <v>3036</v>
      </c>
      <c r="F42" s="574">
        <f>SUMIF(122:122,E42,123:123)-SUMIF(122:122,C42,123:123)+100</f>
        <v>100</v>
      </c>
      <c r="G42" s="598" t="s">
        <v>3036</v>
      </c>
      <c r="H42" s="539">
        <f>SUMIF(122:122,G42,123:123)-SUMIF(122:122,C42,123:123)+100</f>
        <v>100</v>
      </c>
      <c r="I42" s="598" t="s">
        <v>3036</v>
      </c>
      <c r="J42" s="539">
        <f>SUMIF(122:122,I42,123:123)-SUMIF(122:122,C42,123:123)+100</f>
        <v>100</v>
      </c>
      <c r="K42" s="863"/>
      <c r="L42" s="2138"/>
      <c r="M42" s="2130"/>
      <c r="N42" s="2130"/>
      <c r="O42" s="2137"/>
      <c r="P42" s="3439"/>
      <c r="Q42" s="3180" t="str">
        <f t="shared" si="11"/>
        <v>内部装修</v>
      </c>
      <c r="R42" s="1570" t="s">
        <v>11</v>
      </c>
      <c r="S42" s="1571">
        <f t="shared" si="12"/>
        <v>100</v>
      </c>
      <c r="T42" s="1570" t="s">
        <v>11</v>
      </c>
      <c r="U42" s="1571">
        <f t="shared" si="13"/>
        <v>100</v>
      </c>
      <c r="V42" s="1570" t="s">
        <v>11</v>
      </c>
      <c r="W42" s="1571">
        <f t="shared" si="14"/>
        <v>100</v>
      </c>
      <c r="X42" s="3182"/>
      <c r="Y42" s="3439"/>
      <c r="Z42" s="3181" t="str">
        <f t="shared" si="15"/>
        <v>内部装修</v>
      </c>
      <c r="AA42" s="3183">
        <f t="shared" si="3"/>
        <v>1</v>
      </c>
      <c r="AB42" s="3183">
        <f t="shared" si="4"/>
        <v>1</v>
      </c>
      <c r="AC42" s="3183">
        <f t="shared" si="5"/>
        <v>1</v>
      </c>
    </row>
    <row r="43" spans="1:29" ht="27.75"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9"/>
      <c r="Q43" s="3180" t="str">
        <f t="shared" si="11"/>
        <v>内部装修维护情况</v>
      </c>
      <c r="R43" s="1570" t="s">
        <v>11</v>
      </c>
      <c r="S43" s="1571">
        <f t="shared" si="12"/>
        <v>100</v>
      </c>
      <c r="T43" s="1570" t="s">
        <v>11</v>
      </c>
      <c r="U43" s="1571">
        <f t="shared" si="13"/>
        <v>100</v>
      </c>
      <c r="V43" s="1570" t="s">
        <v>11</v>
      </c>
      <c r="W43" s="1571">
        <f t="shared" si="14"/>
        <v>100</v>
      </c>
      <c r="X43" s="3182"/>
      <c r="Y43" s="3439"/>
      <c r="Z43" s="3181" t="str">
        <f t="shared" si="15"/>
        <v>内部装修维护情况</v>
      </c>
      <c r="AA43" s="3183">
        <f t="shared" si="3"/>
        <v>1</v>
      </c>
      <c r="AB43" s="3183">
        <f t="shared" si="4"/>
        <v>1</v>
      </c>
      <c r="AC43" s="3183">
        <f t="shared" si="5"/>
        <v>1</v>
      </c>
    </row>
    <row r="44" spans="1:29" s="1218" customFormat="1" ht="15.75" hidden="1" thickBot="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1"/>
      <c r="M44" s="2132"/>
      <c r="N44" s="2132"/>
      <c r="O44" s="2133"/>
      <c r="P44" s="3439"/>
      <c r="Q44" s="3177">
        <f t="shared" si="11"/>
        <v>111</v>
      </c>
      <c r="R44" s="1565" t="s">
        <v>11</v>
      </c>
      <c r="S44" s="1566">
        <f t="shared" si="12"/>
        <v>100</v>
      </c>
      <c r="T44" s="1565" t="s">
        <v>11</v>
      </c>
      <c r="U44" s="1566">
        <f t="shared" si="13"/>
        <v>100</v>
      </c>
      <c r="V44" s="1565" t="s">
        <v>11</v>
      </c>
      <c r="W44" s="1566">
        <f t="shared" si="14"/>
        <v>100</v>
      </c>
      <c r="X44" s="1567"/>
      <c r="Y44" s="3439"/>
      <c r="Z44" s="3172">
        <f t="shared" si="15"/>
        <v>111</v>
      </c>
      <c r="AA44" s="1568">
        <f t="shared" si="3"/>
        <v>1</v>
      </c>
      <c r="AB44" s="1568">
        <f t="shared" si="4"/>
        <v>1</v>
      </c>
      <c r="AC44" s="1568">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9"/>
      <c r="Q45" s="3180">
        <f t="shared" si="11"/>
        <v>111</v>
      </c>
      <c r="R45" s="1570" t="s">
        <v>11</v>
      </c>
      <c r="S45" s="1571">
        <f t="shared" si="12"/>
        <v>100</v>
      </c>
      <c r="T45" s="1570" t="s">
        <v>11</v>
      </c>
      <c r="U45" s="1571">
        <f t="shared" si="13"/>
        <v>100</v>
      </c>
      <c r="V45" s="1570" t="s">
        <v>11</v>
      </c>
      <c r="W45" s="1571">
        <f t="shared" si="14"/>
        <v>100</v>
      </c>
      <c r="X45" s="3182"/>
      <c r="Y45" s="3439"/>
      <c r="Z45" s="3181">
        <f t="shared" si="15"/>
        <v>111</v>
      </c>
      <c r="AA45" s="3183">
        <f t="shared" si="3"/>
        <v>1</v>
      </c>
      <c r="AB45" s="3183">
        <f t="shared" si="4"/>
        <v>1</v>
      </c>
      <c r="AC45" s="3183">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518"/>
      <c r="Q46" s="3180">
        <f t="shared" si="11"/>
        <v>111</v>
      </c>
      <c r="R46" s="1570" t="s">
        <v>10</v>
      </c>
      <c r="S46" s="1571">
        <f t="shared" si="12"/>
        <v>100</v>
      </c>
      <c r="T46" s="1570" t="s">
        <v>10</v>
      </c>
      <c r="U46" s="1571">
        <f t="shared" si="13"/>
        <v>100</v>
      </c>
      <c r="V46" s="1570" t="s">
        <v>10</v>
      </c>
      <c r="W46" s="1571">
        <f t="shared" si="14"/>
        <v>100</v>
      </c>
      <c r="X46" s="3182"/>
      <c r="Y46" s="3518"/>
      <c r="Z46" s="3181">
        <f t="shared" si="15"/>
        <v>111</v>
      </c>
      <c r="AA46" s="3183">
        <f t="shared" si="3"/>
        <v>1</v>
      </c>
      <c r="AB46" s="3183">
        <f t="shared" si="4"/>
        <v>1</v>
      </c>
      <c r="AC46" s="3183">
        <f t="shared" si="5"/>
        <v>1</v>
      </c>
    </row>
    <row r="47" spans="1:29" ht="15">
      <c r="A47" s="606" t="s">
        <v>736</v>
      </c>
      <c r="B47" s="885"/>
      <c r="C47" s="2623" t="s">
        <v>9</v>
      </c>
      <c r="D47" s="2624"/>
      <c r="E47" s="2625">
        <f>'不动产比较法-平层住宅'!E47</f>
        <v>35000</v>
      </c>
      <c r="F47" s="2626"/>
      <c r="G47" s="2627">
        <f>'不动产比较法-平层住宅'!G47</f>
        <v>35000</v>
      </c>
      <c r="H47" s="2628"/>
      <c r="I47" s="2625">
        <f>'不动产比较法-平层住宅'!I47</f>
        <v>38000</v>
      </c>
      <c r="J47" s="2628"/>
      <c r="K47" s="1603"/>
      <c r="L47" s="2140"/>
      <c r="M47" s="2141"/>
      <c r="N47" s="2130"/>
      <c r="O47" s="2141"/>
      <c r="P47" s="3401" t="str">
        <f>A47</f>
        <v>成交单价（元/平方米）</v>
      </c>
      <c r="Q47" s="3401"/>
      <c r="R47" s="3517">
        <f>E47</f>
        <v>35000</v>
      </c>
      <c r="S47" s="3517"/>
      <c r="T47" s="3517">
        <f>G47</f>
        <v>35000</v>
      </c>
      <c r="U47" s="3517"/>
      <c r="V47" s="3517">
        <f>I47</f>
        <v>38000</v>
      </c>
      <c r="W47" s="3517"/>
      <c r="X47" s="1556"/>
      <c r="Y47" s="1578"/>
      <c r="Z47" s="1556"/>
      <c r="AA47" s="1556"/>
      <c r="AB47" s="1556"/>
      <c r="AC47" s="1556"/>
    </row>
    <row r="48" spans="1:29" ht="15.75" thickBot="1">
      <c r="A48" s="614" t="s">
        <v>2693</v>
      </c>
      <c r="B48" s="886"/>
      <c r="C48" s="2629">
        <f>R49</f>
        <v>39293</v>
      </c>
      <c r="D48" s="2630"/>
      <c r="E48" s="2631">
        <f>R48</f>
        <v>36842</v>
      </c>
      <c r="F48" s="2631"/>
      <c r="G48" s="2629">
        <f>T48</f>
        <v>38435</v>
      </c>
      <c r="H48" s="2630"/>
      <c r="I48" s="2631">
        <f>V48</f>
        <v>42603</v>
      </c>
      <c r="J48" s="2630"/>
      <c r="K48" s="1604"/>
      <c r="L48" s="2140"/>
      <c r="M48" s="2141"/>
      <c r="N48" s="2141"/>
      <c r="O48" s="2141"/>
      <c r="P48" s="3401" t="str">
        <f>A48</f>
        <v>比较价格（元/平方米）</v>
      </c>
      <c r="Q48" s="3401"/>
      <c r="R48" s="3517">
        <f>IF(F1="售价",ROUND(PRODUCT(R47,AA7:AA46),0),ROUND(PRODUCT(R47,AA7:AA46),1))</f>
        <v>36842</v>
      </c>
      <c r="S48" s="3517"/>
      <c r="T48" s="3517">
        <f>IF(F1="售价",ROUND(PRODUCT(T47,AB7:AB46),0),ROUND(PRODUCT(T47,AB7:AB46),1))</f>
        <v>38435</v>
      </c>
      <c r="U48" s="3517"/>
      <c r="V48" s="3517">
        <f>IF(F1="售价",ROUND(PRODUCT(V47,AC7:AC46),0),ROUND(PRODUCT(V47,AC7:AC46),1))</f>
        <v>42603</v>
      </c>
      <c r="W48" s="3517"/>
      <c r="X48" s="1556"/>
      <c r="Y48" s="1556"/>
      <c r="Z48" s="1556"/>
      <c r="AA48" s="1556"/>
      <c r="AB48" s="1556"/>
      <c r="AC48" s="1556"/>
    </row>
    <row r="49" spans="1:29" ht="15.75" thickBot="1">
      <c r="A49" s="620" t="s">
        <v>2924</v>
      </c>
      <c r="B49" s="621"/>
      <c r="C49" s="2632">
        <f>R49</f>
        <v>39293</v>
      </c>
      <c r="D49" s="2632"/>
      <c r="E49" s="2632"/>
      <c r="F49" s="2632"/>
      <c r="G49" s="2632"/>
      <c r="H49" s="2632"/>
      <c r="I49" s="2632"/>
      <c r="J49" s="2632"/>
      <c r="K49" s="1605"/>
      <c r="L49" s="2140"/>
      <c r="M49" s="2141"/>
      <c r="N49" s="2141"/>
      <c r="O49" s="2141"/>
      <c r="P49" s="3398" t="str">
        <f>A49</f>
        <v>估价对象XX用房的比较价格（楼面单价，元/平方米）</v>
      </c>
      <c r="Q49" s="3399"/>
      <c r="R49" s="3516">
        <f>IF(F1="售价",ROUND(AVERAGE(R48:V48),0),ROUND(AVERAGE(R48:V48),1))</f>
        <v>39293</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f>IF(E47&lt;E48,E48/E47-1,E47/E48-1)</f>
        <v>5.2628571428571469E-2</v>
      </c>
      <c r="F52" s="626" t="str">
        <f>IF(OR(E52&gt;=0.3,E52&lt;=-0.3),"超过30%","")</f>
        <v/>
      </c>
      <c r="G52" s="625">
        <f>IF(G47&lt;G48,G48/G47-1,G47/G48-1)</f>
        <v>9.8142857142857087E-2</v>
      </c>
      <c r="H52" s="626" t="str">
        <f>IF(OR(G52&gt;=0.3,G52&lt;=-0.3),"超过30%","")</f>
        <v/>
      </c>
      <c r="I52" s="625">
        <f>IF(I47&lt;I48,I48/I47-1,I47/I48-1)</f>
        <v>0.12113157894736837</v>
      </c>
      <c r="J52" s="626"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f>IF(E48&lt;G48,G48/E48-1,E48/G48-1)</f>
        <v>4.3238694967699942E-2</v>
      </c>
      <c r="F53" s="626" t="str">
        <f>IF(OR(E53&gt;=0.2,E53&lt;=-0.2),"超过20%","")</f>
        <v/>
      </c>
      <c r="G53" s="625">
        <f>IF(G48&lt;I48,I48/G48-1,G48/I48-1)</f>
        <v>0.10844282554962925</v>
      </c>
      <c r="H53" s="626" t="str">
        <f>IF(OR(G53&gt;=0.2,G53&lt;=-0.2),"超过20%","")</f>
        <v/>
      </c>
      <c r="I53" s="625">
        <f>IF(I48&lt;E48,E48/I48-1,I48/E48-1)</f>
        <v>0.15637044677270517</v>
      </c>
      <c r="J53" s="626"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f>IF(E47&lt;G47,G47/E47-1,E47/G47-1)</f>
        <v>0</v>
      </c>
      <c r="F54" s="626" t="str">
        <f>IF(OR(E54&gt;=0.3,E54&lt;=-0.3),"超过30%","")</f>
        <v/>
      </c>
      <c r="G54" s="625">
        <f>IF(G47&lt;I47,I47/G47-1,G47/I47-1)</f>
        <v>8.5714285714285632E-2</v>
      </c>
      <c r="H54" s="626" t="str">
        <f>IF(OR(G54&gt;=0.3,G54&lt;=-0.3),"超过30%","")</f>
        <v/>
      </c>
      <c r="I54" s="625">
        <f>IF(I47&lt;E47,E47/I47-1,I47/E47-1)</f>
        <v>8.5714285714285632E-2</v>
      </c>
      <c r="J54" s="626"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800"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577</v>
      </c>
      <c r="B63" s="664" t="s">
        <v>534</v>
      </c>
      <c r="C63" s="703" t="str">
        <f>C9</f>
        <v>住宅</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v>0</v>
      </c>
      <c r="D68" s="540">
        <v>1</v>
      </c>
      <c r="E68" s="540">
        <v>2</v>
      </c>
      <c r="F68" s="540">
        <v>3</v>
      </c>
      <c r="G68" s="540">
        <v>4</v>
      </c>
      <c r="H68" s="540">
        <v>5</v>
      </c>
      <c r="I68" s="540">
        <v>6</v>
      </c>
      <c r="J68" s="540">
        <v>7</v>
      </c>
      <c r="K68" s="683">
        <v>8</v>
      </c>
      <c r="L68" s="683">
        <v>9</v>
      </c>
      <c r="M68" s="685">
        <v>10</v>
      </c>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97</v>
      </c>
      <c r="E79" s="678">
        <f>D79-$K17</f>
        <v>94</v>
      </c>
      <c r="F79" s="678">
        <f>E79-$K17</f>
        <v>91</v>
      </c>
      <c r="G79" s="678">
        <f>F79-$K17</f>
        <v>88</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2318</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98</v>
      </c>
      <c r="E81" s="678">
        <f>D81-$K19</f>
        <v>96</v>
      </c>
      <c r="F81" s="678">
        <f>E81-$K19</f>
        <v>94</v>
      </c>
      <c r="G81" s="678">
        <f>F81-$K19</f>
        <v>92</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2547</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98</v>
      </c>
      <c r="E85" s="678">
        <f>D85-$K23</f>
        <v>96</v>
      </c>
      <c r="F85" s="678">
        <f>E85-$K23</f>
        <v>94</v>
      </c>
      <c r="G85" s="678">
        <f>F85-$K23</f>
        <v>92</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2258</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746</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747</v>
      </c>
      <c r="C100" s="3200" t="s">
        <v>3254</v>
      </c>
      <c r="D100" s="3200" t="s">
        <v>3051</v>
      </c>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v>0</v>
      </c>
      <c r="D103" s="729">
        <v>100000</v>
      </c>
      <c r="E103" s="729">
        <v>200000</v>
      </c>
      <c r="F103" s="729">
        <v>300000</v>
      </c>
      <c r="G103" s="729">
        <v>400000</v>
      </c>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3191" t="s">
        <v>3027</v>
      </c>
      <c r="D105" s="3191" t="s">
        <v>3029</v>
      </c>
      <c r="E105" s="3190" t="s">
        <v>3030</v>
      </c>
      <c r="F105" s="3190" t="s">
        <v>3031</v>
      </c>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3190" t="s">
        <v>3022</v>
      </c>
      <c r="D107" s="3190" t="s">
        <v>3023</v>
      </c>
      <c r="E107" s="3190" t="s">
        <v>3024</v>
      </c>
      <c r="F107" s="3190" t="s">
        <v>3025</v>
      </c>
      <c r="G107" s="3190" t="s">
        <v>3026</v>
      </c>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3191" t="s">
        <v>3032</v>
      </c>
      <c r="D109" s="3191" t="s">
        <v>3034</v>
      </c>
      <c r="E109" s="3191" t="s">
        <v>3035</v>
      </c>
      <c r="F109" s="3190" t="s">
        <v>3037</v>
      </c>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3191" t="s">
        <v>3038</v>
      </c>
      <c r="D116" s="3191" t="s">
        <v>3039</v>
      </c>
      <c r="E116" s="3191" t="s">
        <v>3040</v>
      </c>
      <c r="F116" s="3191" t="s">
        <v>3041</v>
      </c>
      <c r="G116" s="3191" t="s">
        <v>3043</v>
      </c>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754</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733</v>
      </c>
      <c r="C120" s="687"/>
      <c r="D120" s="687"/>
      <c r="E120" s="687"/>
      <c r="F120" s="687"/>
      <c r="G120" s="687"/>
      <c r="H120" s="687"/>
      <c r="I120" s="687"/>
      <c r="J120" s="687"/>
      <c r="K120" s="687"/>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3191" t="s">
        <v>3032</v>
      </c>
      <c r="D122" s="3191" t="s">
        <v>3034</v>
      </c>
      <c r="E122" s="3191" t="s">
        <v>3035</v>
      </c>
      <c r="F122" s="3190" t="s">
        <v>3037</v>
      </c>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 zoomScale="80" zoomScaleNormal="80" workbookViewId="0">
      <selection activeCell="G13" sqref="G1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3270</v>
      </c>
      <c r="D1" s="3118" t="s">
        <v>3053</v>
      </c>
      <c r="E1" s="2383" t="s">
        <v>2374</v>
      </c>
      <c r="F1" s="2384">
        <f ca="1">J53</f>
        <v>37.950000000000003</v>
      </c>
      <c r="G1" s="773">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1727</v>
      </c>
      <c r="B2" s="774">
        <f ca="1">C40+J29+L46</f>
        <v>12886</v>
      </c>
      <c r="C2" s="2053"/>
      <c r="D2" s="2051"/>
      <c r="E2" s="2052"/>
      <c r="F2" s="2052"/>
      <c r="G2" s="1587"/>
      <c r="H2" s="2053"/>
      <c r="I2" s="2053"/>
      <c r="J2" s="2053"/>
      <c r="K2" s="2054"/>
      <c r="L2" s="2053"/>
      <c r="M2" s="2053"/>
    </row>
    <row r="3" spans="1:33" ht="18" customHeight="1" thickBot="1">
      <c r="A3" s="832" t="s">
        <v>1728</v>
      </c>
      <c r="B3" s="833">
        <f ca="1">IF(ISERROR(B2*10000/F43),0,ROUND(B2*10000/F43,0))</f>
        <v>42953</v>
      </c>
      <c r="C3" s="2053"/>
      <c r="D3" s="2051"/>
      <c r="E3" s="2052"/>
      <c r="F3" s="2052"/>
      <c r="G3" s="1587"/>
      <c r="H3" s="775" t="s">
        <v>695</v>
      </c>
      <c r="I3" s="1361"/>
      <c r="J3" s="1361"/>
      <c r="K3" s="1588"/>
      <c r="L3" s="1361"/>
      <c r="M3" s="1361"/>
    </row>
    <row r="4" spans="1:33" ht="18" customHeight="1">
      <c r="A4" s="776" t="s">
        <v>1729</v>
      </c>
      <c r="B4" s="777" t="s">
        <v>1730</v>
      </c>
      <c r="C4" s="777" t="s">
        <v>1731</v>
      </c>
      <c r="D4" s="777" t="s">
        <v>633</v>
      </c>
      <c r="E4" s="778" t="s">
        <v>1732</v>
      </c>
      <c r="F4" s="779"/>
      <c r="G4" s="1589"/>
      <c r="H4" s="776" t="s">
        <v>1733</v>
      </c>
      <c r="I4" s="777" t="s">
        <v>1734</v>
      </c>
      <c r="J4" s="777" t="s">
        <v>1735</v>
      </c>
      <c r="K4" s="777" t="s">
        <v>1736</v>
      </c>
      <c r="L4" s="778" t="s">
        <v>1737</v>
      </c>
      <c r="M4" s="779"/>
    </row>
    <row r="5" spans="1:33" ht="18" customHeight="1">
      <c r="A5" s="780">
        <v>1</v>
      </c>
      <c r="B5" s="781" t="s">
        <v>2458</v>
      </c>
      <c r="C5" s="55">
        <f ca="1">C6+C10+C12</f>
        <v>746</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745</v>
      </c>
      <c r="D6" s="2493" t="s">
        <v>2462</v>
      </c>
      <c r="E6" s="783" t="s">
        <v>1739</v>
      </c>
      <c r="F6" s="784">
        <f ca="1">INDIRECT("'数据-取费表'!u"&amp;$G$1)</f>
        <v>8</v>
      </c>
      <c r="G6" s="1589"/>
      <c r="H6" s="2500" t="s">
        <v>2468</v>
      </c>
      <c r="I6" s="3479" t="s">
        <v>2463</v>
      </c>
      <c r="J6" s="782">
        <f ca="1">ROUND(M6*M8*M7*(1-M9)/10000,0)</f>
        <v>0</v>
      </c>
      <c r="K6" s="340" t="s">
        <v>1738</v>
      </c>
      <c r="L6" s="783" t="s">
        <v>1739</v>
      </c>
      <c r="M6" s="784">
        <f ca="1">INDIRECT("'数据-取费表'!z"&amp;$G$1)</f>
        <v>0</v>
      </c>
    </row>
    <row r="7" spans="1:33" ht="18" customHeight="1">
      <c r="A7" s="2496"/>
      <c r="B7" s="3480"/>
      <c r="C7" s="787"/>
      <c r="D7" s="788"/>
      <c r="E7" s="783" t="s">
        <v>1740</v>
      </c>
      <c r="F7" s="784">
        <f ca="1">IF(INDIRECT("'数据-取费表'!ah"&amp;$G$1)="",INDIRECT("'数据-取费表'!k"&amp;$G$1),INDIRECT("'数据-取费表'!ah"&amp;$G$1))</f>
        <v>3000</v>
      </c>
      <c r="G7" s="1589"/>
      <c r="H7" s="2485"/>
      <c r="I7" s="3480"/>
      <c r="J7" s="787"/>
      <c r="K7" s="788"/>
      <c r="L7" s="783" t="s">
        <v>1740</v>
      </c>
      <c r="M7" s="784">
        <f ca="1">F7</f>
        <v>3000</v>
      </c>
    </row>
    <row r="8" spans="1:33" ht="18" customHeight="1">
      <c r="A8" s="2489"/>
      <c r="B8" s="3481"/>
      <c r="C8" s="787"/>
      <c r="D8" s="788"/>
      <c r="E8" s="783" t="s">
        <v>1741</v>
      </c>
      <c r="F8" s="784">
        <f ca="1">INDIRECT("'数据-取费表'!ai"&amp;$G$1)</f>
        <v>365</v>
      </c>
      <c r="G8" s="1589"/>
      <c r="H8" s="2485"/>
      <c r="I8" s="3481"/>
      <c r="J8" s="787"/>
      <c r="K8" s="788"/>
      <c r="L8" s="783" t="s">
        <v>1741</v>
      </c>
      <c r="M8" s="784">
        <f ca="1">INDIRECT("'数据-取费表'!ai"&amp;$G$1)</f>
        <v>365</v>
      </c>
    </row>
    <row r="9" spans="1:33" ht="18" customHeight="1">
      <c r="A9" s="785"/>
      <c r="B9" s="3482"/>
      <c r="C9" s="787"/>
      <c r="D9" s="788"/>
      <c r="E9" s="783" t="s">
        <v>1742</v>
      </c>
      <c r="F9" s="793">
        <f ca="1">INDIRECT("'数据-取费表'!w"&amp;$G$1)</f>
        <v>0.15</v>
      </c>
      <c r="G9" s="1589"/>
      <c r="H9" s="2501"/>
      <c r="I9" s="3481"/>
      <c r="J9" s="787"/>
      <c r="K9" s="788"/>
      <c r="L9" s="794" t="s">
        <v>1742</v>
      </c>
      <c r="M9" s="795">
        <f ca="1">INDIRECT("'数据-取费表'!ab"&amp;$G$1)</f>
        <v>0</v>
      </c>
    </row>
    <row r="10" spans="1:33" ht="18" customHeight="1">
      <c r="A10" s="1826" t="s">
        <v>2466</v>
      </c>
      <c r="B10" s="2490" t="s">
        <v>2459</v>
      </c>
      <c r="C10" s="798">
        <f ca="1">ROUND(IF(F10="押一",C6/12*F11,IF(F10="押二",C6/12*2*F11,IF(F10="押三",C6/12*3*F11,C11*F11))),0)</f>
        <v>1</v>
      </c>
      <c r="D10" s="2497" t="s">
        <v>2965</v>
      </c>
      <c r="E10" s="2494" t="s">
        <v>2464</v>
      </c>
      <c r="F10" s="2617" t="s">
        <v>3206</v>
      </c>
      <c r="G10" s="1589"/>
      <c r="H10" s="2557" t="s">
        <v>2469</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2465</v>
      </c>
      <c r="F11" s="795">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1">
        <f ca="1">ROUND(C29*F13,0)</f>
        <v>1107</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3" t="s">
        <v>645</v>
      </c>
      <c r="C14" s="803">
        <f ca="1">INDIRECT("'数据-取费表'!m"&amp;$G$1)+INDIRECT("'数据-取费表'!t"&amp;$G$1)</f>
        <v>751</v>
      </c>
      <c r="D14" s="1975" t="s">
        <v>1746</v>
      </c>
      <c r="E14" s="1976"/>
      <c r="F14" s="804"/>
      <c r="G14" s="1589"/>
      <c r="H14" s="1646" t="s">
        <v>1831</v>
      </c>
      <c r="I14" s="2227" t="s">
        <v>2826</v>
      </c>
      <c r="J14" s="53">
        <f ca="1">C29</f>
        <v>1107</v>
      </c>
      <c r="K14" s="26"/>
      <c r="L14" s="800"/>
      <c r="M14" s="801"/>
    </row>
    <row r="15" spans="1:33" s="2060" customFormat="1" ht="18" customHeight="1" thickBot="1">
      <c r="A15" s="1645" t="s">
        <v>1886</v>
      </c>
      <c r="B15" s="783" t="s">
        <v>647</v>
      </c>
      <c r="C15" s="53">
        <f ca="1">ROUND(C14*F15,0)</f>
        <v>23</v>
      </c>
      <c r="D15" s="805" t="s">
        <v>1747</v>
      </c>
      <c r="E15" s="805" t="s">
        <v>1748</v>
      </c>
      <c r="F15" s="806">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3" t="s">
        <v>650</v>
      </c>
      <c r="C16" s="53">
        <f ca="1">ROUND(INDIRECT("'数据-取费表'!m"&amp;$G$1)*F16,0)</f>
        <v>0</v>
      </c>
      <c r="D16" s="783" t="s">
        <v>1747</v>
      </c>
      <c r="E16" s="783" t="s">
        <v>1748</v>
      </c>
      <c r="F16" s="808">
        <f ca="1">IF(INDIRECT("'数据-取费表'!c"&amp;$G$1)="住宅",'数据-取费表'!B34,0)</f>
        <v>0</v>
      </c>
      <c r="G16" s="1589"/>
      <c r="H16" s="1825" t="s">
        <v>1749</v>
      </c>
      <c r="I16" s="1823" t="s">
        <v>1750</v>
      </c>
      <c r="J16" s="791">
        <f ca="1">ROUND(J17+J22+J23+J24,0)</f>
        <v>112</v>
      </c>
      <c r="K16" s="1817" t="s">
        <v>1751</v>
      </c>
      <c r="L16" s="2482"/>
      <c r="M16" s="2487"/>
    </row>
    <row r="17" spans="1:33" s="2060" customFormat="1" ht="18" customHeight="1">
      <c r="A17" s="1645" t="s">
        <v>1888</v>
      </c>
      <c r="B17" s="783" t="s">
        <v>653</v>
      </c>
      <c r="C17" s="53">
        <f ca="1">ROUND(F17*(F43+INDIRECT("'数据-取费表'!S"&amp;$G$1))/10000,0)</f>
        <v>60</v>
      </c>
      <c r="D17" s="783" t="s">
        <v>1752</v>
      </c>
      <c r="E17" s="783" t="s">
        <v>1753</v>
      </c>
      <c r="F17" s="56">
        <f>'数据-取费表'!B35</f>
        <v>200</v>
      </c>
      <c r="G17" s="1590"/>
      <c r="H17" s="1646" t="s">
        <v>1831</v>
      </c>
      <c r="I17" s="783" t="s">
        <v>656</v>
      </c>
      <c r="J17" s="53">
        <f ca="1">ROUND(IF(项目基本情况!B11="自然人",J5*M17,J18+J19+J20),0)</f>
        <v>95</v>
      </c>
      <c r="K17" s="2481" t="s">
        <v>1754</v>
      </c>
      <c r="L17" s="2480"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11</v>
      </c>
      <c r="D18" s="783" t="s">
        <v>1747</v>
      </c>
      <c r="E18" s="783" t="s">
        <v>1748</v>
      </c>
      <c r="F18" s="808">
        <f>'数据-取费表'!B36</f>
        <v>1.4999999999999999E-2</v>
      </c>
      <c r="G18" s="1590"/>
      <c r="H18" s="1645" t="s">
        <v>1885</v>
      </c>
      <c r="I18" s="783" t="s">
        <v>1756</v>
      </c>
      <c r="J18" s="53">
        <f ca="1">ROUND(J5*M18/1.05,1)</f>
        <v>0</v>
      </c>
      <c r="K18" s="2480" t="s">
        <v>1757</v>
      </c>
      <c r="L18" s="783" t="s">
        <v>1748</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3" t="s">
        <v>662</v>
      </c>
      <c r="C19" s="53">
        <f ca="1">SUM(C14:C18)</f>
        <v>845</v>
      </c>
      <c r="D19" s="260" t="s">
        <v>1758</v>
      </c>
      <c r="E19" s="1978"/>
      <c r="F19" s="56"/>
      <c r="G19" s="1589"/>
      <c r="H19" s="1645" t="s">
        <v>1886</v>
      </c>
      <c r="I19" s="783" t="s">
        <v>1759</v>
      </c>
      <c r="J19" s="53">
        <f ca="1">IF(K19="按租金收入计税",ROUND(J5*M19,1),ROUND(C29*F33*0.7,1))</f>
        <v>93</v>
      </c>
      <c r="K19" s="810" t="s">
        <v>665</v>
      </c>
      <c r="L19" s="783" t="s">
        <v>1748</v>
      </c>
      <c r="M19" s="808">
        <f>IF(K19="按租金收入计税",'数据-取费表'!B51,'数据-取费表'!B50)</f>
        <v>1.2E-2</v>
      </c>
    </row>
    <row r="20" spans="1:33" s="2060" customFormat="1" ht="18" customHeight="1">
      <c r="A20" s="1646" t="s">
        <v>1890</v>
      </c>
      <c r="B20" s="783" t="s">
        <v>666</v>
      </c>
      <c r="C20" s="53">
        <f ca="1">ROUND(C19*F20,0)</f>
        <v>17</v>
      </c>
      <c r="D20" s="811" t="s">
        <v>1760</v>
      </c>
      <c r="E20" s="783" t="s">
        <v>1748</v>
      </c>
      <c r="F20" s="808">
        <f>'数据-取费表'!B37</f>
        <v>0.02</v>
      </c>
      <c r="G20" s="1590"/>
      <c r="H20" s="1648" t="s">
        <v>1881</v>
      </c>
      <c r="I20" s="340" t="s">
        <v>1761</v>
      </c>
      <c r="J20" s="54">
        <f ca="1">ROUND(M20*M21/10000,0)</f>
        <v>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1764</v>
      </c>
      <c r="C21" s="53" t="s">
        <v>1765</v>
      </c>
      <c r="D21" s="811" t="s">
        <v>2299</v>
      </c>
      <c r="E21" s="783" t="s">
        <v>1766</v>
      </c>
      <c r="F21" s="808">
        <f>'数据-取费表'!B38</f>
        <v>0.02</v>
      </c>
      <c r="G21" s="1590"/>
      <c r="H21" s="2502"/>
      <c r="I21" s="792"/>
      <c r="J21" s="69"/>
      <c r="K21" s="815"/>
      <c r="L21" s="783" t="s">
        <v>1767</v>
      </c>
      <c r="M21" s="784">
        <f ca="1">INDIRECT("'数据-取费表'!r"&amp;$G$1)</f>
        <v>933.11</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1768</v>
      </c>
      <c r="C22" s="53"/>
      <c r="D22" s="2568" t="str">
        <f>IF(F23&lt;=1,"单利计息。","复利计息。")&amp;"建造成本、管理费用、销售费用产生的利息。"</f>
        <v>复利计息。建造成本、管理费用、销售费用产生的利息。</v>
      </c>
      <c r="E22" s="1978"/>
      <c r="F22" s="56"/>
      <c r="G22" s="1589"/>
      <c r="H22" s="1646" t="s">
        <v>1890</v>
      </c>
      <c r="I22" s="783" t="s">
        <v>1769</v>
      </c>
      <c r="J22" s="53">
        <f ca="1">ROUND(J14*M22,0)</f>
        <v>17</v>
      </c>
      <c r="K22" s="2480" t="s">
        <v>1770</v>
      </c>
      <c r="L22" s="783" t="s">
        <v>1748</v>
      </c>
      <c r="M22" s="816">
        <f ca="1">INDIRECT("'数据-取费表'!Ak"&amp;$G$1)</f>
        <v>1.4999999999999999E-2</v>
      </c>
    </row>
    <row r="23" spans="1:33" s="2060" customFormat="1" ht="18" customHeight="1">
      <c r="A23" s="1645" t="s">
        <v>1832</v>
      </c>
      <c r="B23" s="783" t="s">
        <v>2535</v>
      </c>
      <c r="C23" s="53">
        <f ca="1">ROUND(IF('数据-取费表'!B22&lt;=1,(C19+C20)*F24*F23/2,(C19+C20)*(POWER((1+F24),F23/2)-1)),0)</f>
        <v>31</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2480" t="s">
        <v>1772</v>
      </c>
      <c r="L23" s="783" t="s">
        <v>1748</v>
      </c>
      <c r="M23" s="817">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1978"/>
      <c r="F25" s="56"/>
      <c r="G25" s="1589"/>
      <c r="H25" s="1825" t="s">
        <v>1777</v>
      </c>
      <c r="I25" s="3006" t="s">
        <v>2822</v>
      </c>
      <c r="J25" s="791">
        <f ca="1">J5-J16</f>
        <v>-112</v>
      </c>
      <c r="K25" s="2544" t="s">
        <v>1778</v>
      </c>
      <c r="L25" s="2545"/>
      <c r="M25" s="2546"/>
    </row>
    <row r="26" spans="1:33" ht="18" customHeight="1">
      <c r="A26" s="1645" t="s">
        <v>1832</v>
      </c>
      <c r="B26" s="783" t="s">
        <v>2438</v>
      </c>
      <c r="C26" s="53">
        <f ca="1">ROUND((C19+C20)*F26,0)</f>
        <v>129</v>
      </c>
      <c r="D26" s="811" t="s">
        <v>1779</v>
      </c>
      <c r="E26" s="794" t="s">
        <v>1780</v>
      </c>
      <c r="F26" s="793">
        <f ca="1">INDIRECT("'数据-取费表'!q"&amp;$G$1)</f>
        <v>0.15</v>
      </c>
      <c r="G26" s="1589"/>
      <c r="H26" s="2498" t="s">
        <v>1781</v>
      </c>
      <c r="I26" s="2228" t="s">
        <v>2827</v>
      </c>
      <c r="J26" s="782">
        <f ca="1">IF(J5&lt;&gt;0,ROUND(J25*(1-((1+M28)/(1+M26))^M27)/(M26-M28),0),0)</f>
        <v>0</v>
      </c>
      <c r="K26" s="813" t="s">
        <v>1782</v>
      </c>
      <c r="L26" s="783" t="s">
        <v>2419</v>
      </c>
      <c r="M26" s="793">
        <f ca="1">INDIRECT("'数据-取费表'!I"&amp;$G$1)</f>
        <v>5.5E-2</v>
      </c>
    </row>
    <row r="27" spans="1:33" ht="18" customHeight="1">
      <c r="A27" s="1645" t="s">
        <v>1833</v>
      </c>
      <c r="B27" s="783" t="s">
        <v>686</v>
      </c>
      <c r="C27" s="53">
        <f ca="1">ROUND(F21*F26,4)</f>
        <v>3.0000000000000001E-3</v>
      </c>
      <c r="D27" s="811" t="s">
        <v>1783</v>
      </c>
      <c r="E27" s="805"/>
      <c r="F27" s="806"/>
      <c r="G27" s="1589"/>
      <c r="H27" s="2499"/>
      <c r="I27" s="786"/>
      <c r="J27" s="787"/>
      <c r="K27" s="820" t="s">
        <v>1784</v>
      </c>
      <c r="L27" s="783" t="s">
        <v>1785</v>
      </c>
      <c r="M27" s="821">
        <f ca="1">INDIRECT("'数据-取费表'!ag"&amp;$G$1)</f>
        <v>0</v>
      </c>
    </row>
    <row r="28" spans="1:33" s="2060" customFormat="1" ht="18" customHeight="1">
      <c r="A28" s="1647" t="s">
        <v>1842</v>
      </c>
      <c r="B28" s="783" t="s">
        <v>687</v>
      </c>
      <c r="C28" s="53">
        <f>ROUND(F28/(1+'数据-取费表'!C42),4)</f>
        <v>5.33E-2</v>
      </c>
      <c r="D28" s="811" t="s">
        <v>2300</v>
      </c>
      <c r="E28" s="783" t="s">
        <v>1786</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1107</v>
      </c>
      <c r="D29" s="2541"/>
      <c r="E29" s="2542"/>
      <c r="F29" s="2543"/>
      <c r="G29" s="1590"/>
      <c r="H29" s="822" t="s">
        <v>1788</v>
      </c>
      <c r="I29" s="823" t="s">
        <v>1789</v>
      </c>
      <c r="J29" s="824">
        <f ca="1">ROUND(J26/(1+F40)^F41,0)</f>
        <v>0</v>
      </c>
      <c r="K29" s="825" t="s">
        <v>1790</v>
      </c>
      <c r="L29" s="826"/>
      <c r="M29" s="827">
        <f ca="1">INDIRECT("'数据-取费表'!k"&amp;$G$1)</f>
        <v>3000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1">
        <f ca="1">ROUND(C31+C36+C37+C38,0)</f>
        <v>165</v>
      </c>
      <c r="D30" s="1817" t="s">
        <v>1792</v>
      </c>
      <c r="E30" s="2482"/>
      <c r="F30" s="2487"/>
      <c r="G30" s="2058"/>
      <c r="H30" s="2061"/>
      <c r="I30" s="2062"/>
      <c r="J30" s="2063"/>
      <c r="K30" s="2064"/>
      <c r="L30" s="2065"/>
      <c r="M30" s="2066"/>
    </row>
    <row r="31" spans="1:33" ht="18" customHeight="1">
      <c r="A31" s="1646" t="s">
        <v>1831</v>
      </c>
      <c r="B31" s="783" t="s">
        <v>656</v>
      </c>
      <c r="C31" s="53">
        <f ca="1">ROUND(IF(项目基本情况!B11="自然人",C5*F31,C32+C33+C34),1)</f>
        <v>131.6</v>
      </c>
      <c r="D31" s="1975" t="s">
        <v>1793</v>
      </c>
      <c r="E31" s="1973" t="s">
        <v>1794</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1795</v>
      </c>
      <c r="C32" s="53">
        <f ca="1">ROUND(C5*F32/1.05,1)</f>
        <v>39.799999999999997</v>
      </c>
      <c r="D32" s="1973" t="s">
        <v>1796</v>
      </c>
      <c r="E32" s="783" t="s">
        <v>1797</v>
      </c>
      <c r="F32" s="808">
        <f>'数据-取费表'!B41</f>
        <v>5.6000000000000001E-2</v>
      </c>
      <c r="G32" s="2058"/>
      <c r="H32" s="2067"/>
      <c r="I32" s="2068"/>
      <c r="J32" s="2069"/>
      <c r="K32" s="2070"/>
      <c r="L32" s="2071"/>
      <c r="M32" s="2072"/>
    </row>
    <row r="33" spans="1:18" ht="18" customHeight="1">
      <c r="A33" s="1645" t="s">
        <v>1833</v>
      </c>
      <c r="B33" s="783" t="s">
        <v>1798</v>
      </c>
      <c r="C33" s="53">
        <f ca="1">IF(D33="按租金收入计税",ROUND(C5*F33,1),IF(D33="按房产原值计税",ROUND(C29*F33*0.7,1),INDIRECT("'数据-取费表'!Aj"&amp;$G$1)))</f>
        <v>89.5</v>
      </c>
      <c r="D33" s="810" t="s">
        <v>3054</v>
      </c>
      <c r="E33" s="783" t="s">
        <v>1797</v>
      </c>
      <c r="F33" s="808">
        <f>IF(D33="按租金收入计税",'数据-取费表'!B51,'数据-取费表'!B50)</f>
        <v>0.12</v>
      </c>
      <c r="G33" s="2058"/>
      <c r="H33" s="2073"/>
      <c r="I33" s="2073"/>
      <c r="J33" s="2073"/>
      <c r="K33" s="2074"/>
      <c r="L33" s="2073"/>
      <c r="M33" s="2073"/>
    </row>
    <row r="34" spans="1:18" ht="18" customHeight="1">
      <c r="A34" s="1648" t="s">
        <v>1834</v>
      </c>
      <c r="B34" s="340" t="s">
        <v>1799</v>
      </c>
      <c r="C34" s="54">
        <f ca="1">ROUND(F34*F35/10000,1)</f>
        <v>2.2999999999999998</v>
      </c>
      <c r="D34" s="813" t="s">
        <v>1800</v>
      </c>
      <c r="E34" s="783" t="s">
        <v>1801</v>
      </c>
      <c r="F34" s="639">
        <f>'数据-取费表'!B52</f>
        <v>25</v>
      </c>
      <c r="G34" s="2058"/>
      <c r="H34" s="2061"/>
      <c r="I34" s="834" t="s">
        <v>1814</v>
      </c>
      <c r="J34" s="835"/>
      <c r="K34" s="2076"/>
      <c r="L34" s="2075"/>
      <c r="M34" s="2075"/>
    </row>
    <row r="35" spans="1:18" ht="18" customHeight="1">
      <c r="A35" s="814"/>
      <c r="B35" s="792"/>
      <c r="C35" s="69"/>
      <c r="D35" s="815"/>
      <c r="E35" s="783" t="s">
        <v>1802</v>
      </c>
      <c r="F35" s="784">
        <f ca="1">INDIRECT("'数据-取费表'!r"&amp;$G$1)</f>
        <v>933.11</v>
      </c>
      <c r="G35" s="2058"/>
      <c r="H35" s="2061"/>
      <c r="I35" s="836" t="s">
        <v>1815</v>
      </c>
      <c r="J35" s="837">
        <f ca="1">ROUND(C13*J36,0)</f>
        <v>94</v>
      </c>
      <c r="K35" s="2074"/>
      <c r="L35" s="2073"/>
      <c r="M35" s="2073"/>
    </row>
    <row r="36" spans="1:18" ht="18" customHeight="1">
      <c r="A36" s="1646" t="s">
        <v>1890</v>
      </c>
      <c r="B36" s="783" t="s">
        <v>1803</v>
      </c>
      <c r="C36" s="53">
        <f ca="1">ROUND(C29*F36,1)</f>
        <v>16.600000000000001</v>
      </c>
      <c r="D36" s="1973" t="s">
        <v>1804</v>
      </c>
      <c r="E36" s="783" t="s">
        <v>1797</v>
      </c>
      <c r="F36" s="816">
        <f ca="1">INDIRECT("'数据-取费表'!Ak"&amp;$G$1)</f>
        <v>1.4999999999999999E-2</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1.7</v>
      </c>
      <c r="D37" s="1973" t="s">
        <v>1805</v>
      </c>
      <c r="E37" s="783" t="s">
        <v>1797</v>
      </c>
      <c r="F37" s="817">
        <f ca="1">INDIRECT("'数据-取费表'!Al"&amp;$G$1)</f>
        <v>1.5E-3</v>
      </c>
      <c r="G37" s="2058"/>
      <c r="H37" s="2073"/>
      <c r="I37" s="840" t="s">
        <v>1817</v>
      </c>
      <c r="J37" s="841"/>
      <c r="K37" s="2078"/>
      <c r="L37" s="2073"/>
      <c r="M37" s="2073"/>
    </row>
    <row r="38" spans="1:18" ht="18" customHeight="1" thickBot="1">
      <c r="A38" s="2547" t="s">
        <v>1892</v>
      </c>
      <c r="B38" s="2542" t="s">
        <v>666</v>
      </c>
      <c r="C38" s="2540">
        <f ca="1">ROUND(C5*F38,1)</f>
        <v>14.9</v>
      </c>
      <c r="D38" s="2541" t="s">
        <v>1806</v>
      </c>
      <c r="E38" s="2542" t="s">
        <v>1797</v>
      </c>
      <c r="F38" s="2538">
        <f ca="1">INDIRECT("'数据-取费表'!Am"&amp;$G$1)</f>
        <v>0.02</v>
      </c>
      <c r="G38" s="2058"/>
      <c r="H38" s="2073"/>
      <c r="I38" s="842" t="s">
        <v>1818</v>
      </c>
      <c r="J38" s="843"/>
      <c r="K38" s="2079"/>
      <c r="L38" s="2073"/>
      <c r="M38" s="2073"/>
    </row>
    <row r="39" spans="1:18" ht="24.6" customHeight="1" thickTop="1">
      <c r="A39" s="1825" t="s">
        <v>1895</v>
      </c>
      <c r="B39" s="3006" t="s">
        <v>2822</v>
      </c>
      <c r="C39" s="791">
        <f ca="1">C5-C30</f>
        <v>581</v>
      </c>
      <c r="D39" s="2544" t="s">
        <v>1807</v>
      </c>
      <c r="E39" s="2545"/>
      <c r="F39" s="2546"/>
      <c r="G39" s="2058"/>
      <c r="H39" s="2073"/>
      <c r="I39" s="836" t="s">
        <v>1819</v>
      </c>
      <c r="J39" s="844">
        <f ca="1">ROUND(J35/C39,3)</f>
        <v>0.16200000000000001</v>
      </c>
      <c r="K39" s="2079"/>
      <c r="L39" s="2073"/>
      <c r="M39" s="2073"/>
    </row>
    <row r="40" spans="1:18" ht="18" customHeight="1">
      <c r="A40" s="780" t="s">
        <v>1896</v>
      </c>
      <c r="B40" s="2228" t="s">
        <v>2302</v>
      </c>
      <c r="C40" s="782">
        <f ca="1">ROUND(C39*(1-((1+F42)/(1+F40))^F41)/(F40-F42),0)</f>
        <v>12886</v>
      </c>
      <c r="D40" s="813" t="s">
        <v>1808</v>
      </c>
      <c r="E40" s="783" t="s">
        <v>2419</v>
      </c>
      <c r="F40" s="793">
        <f ca="1">INDIRECT("'数据-取费表'!I"&amp;$G$1)</f>
        <v>5.5E-2</v>
      </c>
      <c r="G40" s="2058"/>
      <c r="H40" s="2058"/>
      <c r="I40" s="836" t="s">
        <v>1820</v>
      </c>
      <c r="J40" s="844">
        <f ca="1">1-J39</f>
        <v>0.83799999999999997</v>
      </c>
      <c r="K40" s="2079"/>
      <c r="L40" s="2058"/>
      <c r="M40" s="2058"/>
    </row>
    <row r="41" spans="1:18" ht="18" customHeight="1">
      <c r="A41" s="785"/>
      <c r="B41" s="786"/>
      <c r="C41" s="787"/>
      <c r="D41" s="820" t="s">
        <v>1809</v>
      </c>
      <c r="E41" s="783" t="s">
        <v>2955</v>
      </c>
      <c r="F41" s="821">
        <f ca="1">IF(INDIRECT("'数据-取费表'!af"&amp;$G$1)=0,INDIRECT("'数据-取费表'!ae"&amp;$G$1),INDIRECT("'数据-取费表'!af"&amp;$G$1))</f>
        <v>37.950000000000003</v>
      </c>
      <c r="G41" s="2058"/>
      <c r="H41" s="1984"/>
      <c r="I41" s="842" t="s">
        <v>1821</v>
      </c>
      <c r="J41" s="845"/>
      <c r="K41" s="2078"/>
      <c r="L41" s="1984"/>
      <c r="M41" s="1984"/>
    </row>
    <row r="42" spans="1:18" ht="18" customHeight="1">
      <c r="A42" s="789"/>
      <c r="B42" s="790"/>
      <c r="C42" s="791"/>
      <c r="D42" s="815"/>
      <c r="E42" s="783" t="s">
        <v>1810</v>
      </c>
      <c r="F42" s="793">
        <f ca="1">INDIRECT("'数据-取费表'!v"&amp;$G$1)</f>
        <v>2.5000000000000001E-2</v>
      </c>
      <c r="G42" s="2058"/>
      <c r="H42" s="1984"/>
      <c r="I42" s="846" t="s">
        <v>1822</v>
      </c>
      <c r="J42" s="844">
        <f ca="1">ROUND(C13/C40,3)</f>
        <v>8.5999999999999993E-2</v>
      </c>
      <c r="K42" s="2078"/>
      <c r="L42" s="1984"/>
      <c r="M42" s="1984"/>
    </row>
    <row r="43" spans="1:18" ht="18" customHeight="1" thickBot="1">
      <c r="A43" s="822" t="s">
        <v>1788</v>
      </c>
      <c r="B43" s="823" t="s">
        <v>1811</v>
      </c>
      <c r="C43" s="824">
        <f ca="1">ROUND(C40*10000/F43,0)</f>
        <v>42953</v>
      </c>
      <c r="D43" s="825" t="s">
        <v>1812</v>
      </c>
      <c r="E43" s="826" t="s">
        <v>1813</v>
      </c>
      <c r="F43" s="827">
        <f ca="1">INDIRECT("'数据-取费表'!k"&amp;$G$1)</f>
        <v>3000</v>
      </c>
      <c r="G43" s="2058"/>
      <c r="H43" s="1984"/>
      <c r="I43" s="846" t="s">
        <v>1823</v>
      </c>
      <c r="J43" s="847">
        <f ca="1">1-J42</f>
        <v>0.91400000000000003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-13218</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9" t="s">
        <v>2345</v>
      </c>
      <c r="J48" s="2378" t="s">
        <v>2350</v>
      </c>
      <c r="K48" s="3151" t="s">
        <v>2351</v>
      </c>
      <c r="L48" s="1904">
        <f ca="1">INDIRECT("'数据-取费表'!f"&amp;$G$1)</f>
        <v>39.450000000000003</v>
      </c>
      <c r="O48" s="2394" t="s">
        <v>2379</v>
      </c>
      <c r="P48" s="2395" t="s">
        <v>2405</v>
      </c>
      <c r="Q48" s="2396">
        <f ca="1">C40+J29</f>
        <v>12886</v>
      </c>
      <c r="R48" s="2395" t="s">
        <v>2380</v>
      </c>
    </row>
    <row r="49" spans="1:18" s="2055" customFormat="1" ht="18" customHeight="1" thickBot="1">
      <c r="A49" s="785"/>
      <c r="B49" s="786"/>
      <c r="C49" s="787"/>
      <c r="D49" s="788"/>
      <c r="E49" s="783" t="s">
        <v>1740</v>
      </c>
      <c r="F49" s="784">
        <f ca="1">F7</f>
        <v>3000</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1741</v>
      </c>
      <c r="F50" s="784">
        <f ca="1">F8</f>
        <v>365</v>
      </c>
      <c r="G50" s="2091"/>
      <c r="H50" s="2089"/>
      <c r="I50" s="3119" t="s">
        <v>2347</v>
      </c>
      <c r="J50" s="3147">
        <f>SUMPRODUCT((I63:I65=J47)*(J62:L62=J48)*(J63:L65))</f>
        <v>60</v>
      </c>
      <c r="K50" s="3152" t="s">
        <v>2353</v>
      </c>
      <c r="L50" s="2380"/>
      <c r="O50" s="2397" t="s">
        <v>2383</v>
      </c>
      <c r="P50" s="2395" t="s">
        <v>2407</v>
      </c>
      <c r="Q50" s="2396">
        <f ca="1">C29</f>
        <v>1107</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8914</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2966</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37.950000000000003</v>
      </c>
      <c r="K53" s="3525" t="s">
        <v>2957</v>
      </c>
      <c r="L53" s="3526"/>
      <c r="O53" s="2397" t="s">
        <v>2388</v>
      </c>
      <c r="P53" s="2395" t="s">
        <v>2389</v>
      </c>
      <c r="Q53" s="2396">
        <f ca="1">J53</f>
        <v>37.950000000000003</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12886</v>
      </c>
      <c r="R54" s="2399" t="s">
        <v>2392</v>
      </c>
    </row>
    <row r="55" spans="1:18" s="2055" customFormat="1" ht="18" customHeight="1" thickTop="1" thickBot="1">
      <c r="A55" s="796">
        <v>2</v>
      </c>
      <c r="B55" s="797" t="s">
        <v>644</v>
      </c>
      <c r="C55" s="798">
        <f ca="1">C13</f>
        <v>1107</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2303</v>
      </c>
      <c r="C56" s="53">
        <f ca="1">C29</f>
        <v>1107</v>
      </c>
      <c r="D56" s="2635"/>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21</v>
      </c>
      <c r="D57" s="26" t="s">
        <v>1751</v>
      </c>
      <c r="E57" s="2636"/>
      <c r="F57" s="56"/>
      <c r="I57" s="3161" t="s">
        <v>2358</v>
      </c>
      <c r="J57" s="3162" t="str">
        <f ca="1">IF(OR(M47="住宅",J51&lt;L48,J56="是"),"——",J51-L48)</f>
        <v>——</v>
      </c>
      <c r="K57" s="3119" t="s">
        <v>2363</v>
      </c>
      <c r="L57" s="1904" t="str">
        <f ca="1">IF(L48&lt;J51,"——",IF(L55="比较法",L49,IF(L55="基准地价",L50,L51)))</f>
        <v>——</v>
      </c>
      <c r="O57" s="2394" t="s">
        <v>2379</v>
      </c>
      <c r="P57" s="2395" t="s">
        <v>2409</v>
      </c>
      <c r="Q57" s="2396">
        <f ca="1">C40+J29</f>
        <v>12886</v>
      </c>
      <c r="R57" s="2395" t="s">
        <v>2380</v>
      </c>
    </row>
    <row r="58" spans="1:18" s="2055" customFormat="1" ht="28.5" customHeight="1" thickBot="1">
      <c r="A58" s="1646" t="s">
        <v>1825</v>
      </c>
      <c r="B58" s="783" t="s">
        <v>656</v>
      </c>
      <c r="C58" s="53">
        <f ca="1">ROUND(IF(项目基本情况!B11="自然人",C47*F58,C59+C60+C61),1)</f>
        <v>2.2999999999999998</v>
      </c>
      <c r="D58" s="2634" t="s">
        <v>657</v>
      </c>
      <c r="E58" s="2635"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2635" t="s">
        <v>1757</v>
      </c>
      <c r="E59" s="783" t="s">
        <v>1748</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1759</v>
      </c>
      <c r="C60" s="53">
        <f ca="1">IF(D60="按租金收入计税",ROUND(C47*F60,1),IF(D60="按房产原值计税",ROUND(C56*F60*0.7,1),INDIRECT("'数据-取费表'!Aj"&amp;$G$1)))</f>
        <v>0</v>
      </c>
      <c r="D60" s="2635" t="str">
        <f>D33</f>
        <v>按租金收入计税</v>
      </c>
      <c r="E60" s="783" t="s">
        <v>1748</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2.2999999999999998</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933.11</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16.600000000000001</v>
      </c>
      <c r="D63" s="2635" t="s">
        <v>1804</v>
      </c>
      <c r="E63" s="783" t="s">
        <v>1748</v>
      </c>
      <c r="F63" s="816">
        <f t="shared" ca="1" si="0"/>
        <v>1.4999999999999999E-2</v>
      </c>
      <c r="I63" s="3166" t="s">
        <v>2370</v>
      </c>
      <c r="J63" s="3167">
        <v>70</v>
      </c>
      <c r="K63" s="3167">
        <v>50</v>
      </c>
      <c r="L63" s="3167">
        <v>80</v>
      </c>
      <c r="M63" s="3169">
        <v>0.02</v>
      </c>
      <c r="O63" s="2394" t="s">
        <v>2391</v>
      </c>
      <c r="P63" s="2395" t="s">
        <v>2408</v>
      </c>
      <c r="Q63" s="2396">
        <f ca="1">Q57+Q58</f>
        <v>12886</v>
      </c>
      <c r="R63" s="2399" t="s">
        <v>2392</v>
      </c>
    </row>
    <row r="64" spans="1:18" s="2055" customFormat="1" ht="16.5" thickBot="1">
      <c r="A64" s="1646" t="s">
        <v>1891</v>
      </c>
      <c r="B64" s="783" t="s">
        <v>679</v>
      </c>
      <c r="C64" s="53">
        <f ca="1">ROUND(C55*F64,1)</f>
        <v>1.7</v>
      </c>
      <c r="D64" s="2635" t="s">
        <v>680</v>
      </c>
      <c r="E64" s="783" t="s">
        <v>1748</v>
      </c>
      <c r="F64" s="817">
        <f t="shared" ca="1" si="0"/>
        <v>1.5E-3</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2635" t="s">
        <v>683</v>
      </c>
      <c r="E65" s="783" t="s">
        <v>1748</v>
      </c>
      <c r="F65" s="793">
        <f t="shared" ca="1" si="0"/>
        <v>0.02</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-21</v>
      </c>
      <c r="D66" s="2634" t="s">
        <v>700</v>
      </c>
      <c r="E66" s="2633"/>
      <c r="F66" s="819"/>
      <c r="K66" s="2082"/>
      <c r="O66" s="2394" t="s">
        <v>2379</v>
      </c>
      <c r="P66" s="2395" t="s">
        <v>2409</v>
      </c>
      <c r="Q66" s="2396">
        <f ca="1">C40+J29</f>
        <v>12886</v>
      </c>
      <c r="R66" s="2395" t="s">
        <v>2380</v>
      </c>
    </row>
    <row r="67" spans="1:18" s="2055" customFormat="1" ht="20.25" thickBot="1">
      <c r="A67" s="780" t="s">
        <v>1781</v>
      </c>
      <c r="B67" s="2228" t="s">
        <v>2302</v>
      </c>
      <c r="C67" s="782">
        <f ca="1">ROUND(C66*(1-((1+F69)/(1+F67))^F68)/(F67-F69),0)</f>
        <v>-332</v>
      </c>
      <c r="D67" s="813" t="s">
        <v>704</v>
      </c>
      <c r="E67" s="783" t="s">
        <v>705</v>
      </c>
      <c r="F67" s="793">
        <f ca="1">F40</f>
        <v>5.5E-2</v>
      </c>
      <c r="K67" s="2082"/>
      <c r="O67" s="2394" t="s">
        <v>2381</v>
      </c>
      <c r="P67" s="2395" t="s">
        <v>2412</v>
      </c>
      <c r="Q67" s="2396">
        <f ca="1">L60</f>
        <v>0</v>
      </c>
      <c r="R67" s="2399" t="s">
        <v>2414</v>
      </c>
    </row>
    <row r="68" spans="1:18" ht="21.75" thickBot="1">
      <c r="A68" s="785"/>
      <c r="B68" s="786"/>
      <c r="C68" s="787"/>
      <c r="D68" s="820" t="s">
        <v>1809</v>
      </c>
      <c r="E68" s="783" t="s">
        <v>1785</v>
      </c>
      <c r="F68" s="821">
        <f ca="1">F41</f>
        <v>37.950000000000003</v>
      </c>
      <c r="O68" s="2397" t="s">
        <v>2383</v>
      </c>
      <c r="P68" s="2395" t="s">
        <v>2413</v>
      </c>
      <c r="Q68" s="2401">
        <f ca="1">L51</f>
        <v>8914</v>
      </c>
      <c r="R68" s="2402" t="s">
        <v>2416</v>
      </c>
    </row>
    <row r="69" spans="1:18" ht="20.25" thickBot="1">
      <c r="A69" s="789"/>
      <c r="B69" s="790"/>
      <c r="C69" s="791"/>
      <c r="D69" s="815"/>
      <c r="E69" s="783" t="s">
        <v>710</v>
      </c>
      <c r="F69" s="2367"/>
      <c r="O69" s="2397" t="s">
        <v>2384</v>
      </c>
      <c r="P69" s="2403" t="s">
        <v>2398</v>
      </c>
      <c r="Q69" s="2396">
        <f ca="1">ROUND(Q70-Q71*Q72,0)</f>
        <v>487</v>
      </c>
      <c r="R69" s="2399"/>
    </row>
    <row r="70" spans="1:18" ht="15.75" thickBot="1">
      <c r="A70" s="822" t="s">
        <v>1788</v>
      </c>
      <c r="B70" s="823" t="s">
        <v>1811</v>
      </c>
      <c r="C70" s="824">
        <f ca="1">ROUND(C67*10000/F70,0)</f>
        <v>-1107</v>
      </c>
      <c r="D70" s="825" t="s">
        <v>1812</v>
      </c>
      <c r="E70" s="826" t="s">
        <v>1813</v>
      </c>
      <c r="F70" s="827">
        <f ca="1">F43</f>
        <v>3000</v>
      </c>
      <c r="O70" s="2397" t="s">
        <v>2399</v>
      </c>
      <c r="P70" s="2403" t="s">
        <v>2400</v>
      </c>
      <c r="Q70" s="2396">
        <f ca="1">C39</f>
        <v>581</v>
      </c>
      <c r="R70" s="2395" t="s">
        <v>2380</v>
      </c>
    </row>
    <row r="71" spans="1:18" ht="15.75" thickBot="1">
      <c r="O71" s="2397" t="s">
        <v>2401</v>
      </c>
      <c r="P71" s="2403" t="s">
        <v>2402</v>
      </c>
      <c r="Q71" s="2396">
        <f ca="1">C13</f>
        <v>1107</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12886</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6"/>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519</v>
      </c>
      <c r="B3" s="509" t="e">
        <f>C49</f>
        <v>#DIV/0!</v>
      </c>
      <c r="C3" s="851" t="s">
        <v>722</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2"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2"/>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2"/>
      <c r="AC6" s="3406"/>
    </row>
    <row r="7" spans="1:29" s="1218" customFormat="1" ht="15.75" thickBot="1">
      <c r="A7" s="2908"/>
      <c r="B7" s="2915" t="s">
        <v>529</v>
      </c>
      <c r="C7" s="518">
        <f>'数据-取费表'!B2</f>
        <v>43328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6" si="3">D8/F8</f>
        <v>#DIV/0!</v>
      </c>
      <c r="AB8" s="1568" t="e">
        <f t="shared" ref="AB8:AB46" si="4">D8/H8</f>
        <v>#DIV/0!</v>
      </c>
      <c r="AC8" s="1568" t="e">
        <f t="shared" ref="AC8:AC46" si="5">D8/J8</f>
        <v>#DIV/0!</v>
      </c>
    </row>
    <row r="9" spans="1:29" s="1218" customFormat="1" ht="15">
      <c r="A9" s="2910"/>
      <c r="B9" s="2917"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SUMIF(70:70,E12,71:71)-SUMIF(70:70,C12,71:71)+100</f>
        <v>100</v>
      </c>
      <c r="G12" s="910"/>
      <c r="H12" s="254">
        <f>SUMIF(70:70,G12,71:71)-SUMIF(70:70,C12,71:71)+100</f>
        <v>100</v>
      </c>
      <c r="I12" s="538"/>
      <c r="J12" s="254">
        <f>SUMIF(70:70,I12,71:71)-SUMIF(70:70,C12,71:71)+100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SUMIF(72:72,E13,73:73)-SUMIF(72:72,C13,73:73)+100</f>
        <v>100</v>
      </c>
      <c r="G13" s="910"/>
      <c r="H13" s="539">
        <f>SUMIF(72:72,G13,73:73)-SUMIF(72:72,C13,73:73)+100</f>
        <v>100</v>
      </c>
      <c r="I13" s="538"/>
      <c r="J13" s="539">
        <f>SUMIF(72:72,I13,73:73)-SUMIF(72:72,C13,73:73)+100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SUMIF(74:74,E14,75:75)-SUMIF(74:74,C14,75:75)+100</f>
        <v>100</v>
      </c>
      <c r="G14" s="910"/>
      <c r="H14" s="545">
        <f>SUMIF(74:74,G14,75:75)-SUMIF(74:74,C14,75:75)+100</f>
        <v>100</v>
      </c>
      <c r="I14" s="538"/>
      <c r="J14" s="545">
        <f>SUMIF(74:74,I14,75:75)-SUMIF(74:74,C14,75:75)+100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85.5">
      <c r="A15" s="2906" t="s">
        <v>2754</v>
      </c>
      <c r="B15" s="166" t="s">
        <v>541</v>
      </c>
      <c r="C15" s="866" t="str">
        <f>估价对象房地状况!C4</f>
        <v>估价对象位于福建省鼓楼区龙庭路，周边商业氛围成熟度较好，人流量较大，商业繁华较好。</v>
      </c>
      <c r="D15" s="548">
        <v>100</v>
      </c>
      <c r="E15" s="549"/>
      <c r="F15" s="550">
        <f>SUMIF(76:76,E16,77:77)-SUMIF(76:76,C16,77:77)+100</f>
        <v>100</v>
      </c>
      <c r="G15" s="551"/>
      <c r="H15" s="548">
        <f>SUMIF(76:76,G16,77:77)-SUMIF(76:76,C16,77:77)+100</f>
        <v>100</v>
      </c>
      <c r="I15" s="549"/>
      <c r="J15" s="548">
        <f>SUMIF(76:76,I16,77:77)-SUMIF(76:76,C16,77:77)+100</f>
        <v>100</v>
      </c>
      <c r="K15" s="896"/>
      <c r="L15" s="2138"/>
      <c r="M15" s="2130"/>
      <c r="N15" s="2130"/>
      <c r="O15" s="2137"/>
      <c r="P15" s="3436" t="s">
        <v>540</v>
      </c>
      <c r="Q15" s="1569" t="str">
        <f t="shared" si="6"/>
        <v>商业繁华度</v>
      </c>
      <c r="R15" s="1570" t="s">
        <v>8</v>
      </c>
      <c r="S15" s="1571">
        <f t="shared" si="0"/>
        <v>100</v>
      </c>
      <c r="T15" s="1570" t="s">
        <v>8</v>
      </c>
      <c r="U15" s="1571">
        <f t="shared" si="1"/>
        <v>100</v>
      </c>
      <c r="V15" s="1570" t="s">
        <v>8</v>
      </c>
      <c r="W15" s="1571">
        <f t="shared" si="2"/>
        <v>100</v>
      </c>
      <c r="X15" s="1564"/>
      <c r="Y15" s="3436" t="s">
        <v>540</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28.25">
      <c r="A17" s="531"/>
      <c r="B17" s="870" t="s">
        <v>296</v>
      </c>
      <c r="C17" s="871" t="str">
        <f>估价对象房地状况!C6</f>
        <v>估价对象周边道路密集程度较好、公共交通通达情况较好、有7、8、19等公共交通，停车便捷程度较好，综合评价交通便捷度较好。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228">
      <c r="A19" s="531"/>
      <c r="B19" s="2596" t="s">
        <v>2546</v>
      </c>
      <c r="C19" s="871"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69"/>
      <c r="F19" s="570">
        <f>SUMIF(80:80,E20,81:81)-SUMIF(80:80,C20,81:81)+100</f>
        <v>100</v>
      </c>
      <c r="G19" s="571"/>
      <c r="H19" s="558">
        <f>SUMIF(80:80,G20,81:81)-SUMIF(80:80,C20,81:81)+100</f>
        <v>100</v>
      </c>
      <c r="I19" s="569"/>
      <c r="J19" s="558">
        <f>SUMIF(80:80,I20,81:81)-SUMIF(80:80,C20,81:81)+100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42.75">
      <c r="A21" s="531"/>
      <c r="B21" s="2589" t="s">
        <v>2558</v>
      </c>
      <c r="C21" s="871" t="str">
        <f>估价对象房地状况!C8</f>
        <v>估价对象所在区域基础设施水平达到“六通”。</v>
      </c>
      <c r="D21" s="564">
        <v>100</v>
      </c>
      <c r="E21" s="571"/>
      <c r="F21" s="570">
        <f>SUMIF(82:82,E22,83:83)-SUMIF(82:82,C22,83:83)+100</f>
        <v>100</v>
      </c>
      <c r="G21" s="571"/>
      <c r="H21" s="564">
        <f>SUMIF(82:82,G22,83:83)-SUMIF(82:82,C22,83:83)+100</f>
        <v>100</v>
      </c>
      <c r="I21" s="569"/>
      <c r="J21" s="564">
        <f>SUMIF(82:82,I22,83:83)-SUMIF(82:82,C22,83:83)+100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920"/>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99.75">
      <c r="A23" s="531"/>
      <c r="B23" s="870" t="s">
        <v>297</v>
      </c>
      <c r="C23" s="898" t="str">
        <f>估价对象房地状况!C9</f>
        <v>区域自然环境：爱民园、于山风景区等；人文环境：孝悌图书馆、福建大剧院；综合评价环境状况较好。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8"/>
      <c r="M23" s="2130"/>
      <c r="N23" s="2130"/>
      <c r="O23" s="2137"/>
      <c r="P23" s="3437"/>
      <c r="Q23" s="1569" t="str">
        <f>B23</f>
        <v>自然及人文环境</v>
      </c>
      <c r="R23" s="1570" t="s">
        <v>8</v>
      </c>
      <c r="S23" s="1571">
        <f>F23</f>
        <v>100</v>
      </c>
      <c r="T23" s="1570" t="s">
        <v>8</v>
      </c>
      <c r="U23" s="1571">
        <f>H23</f>
        <v>100</v>
      </c>
      <c r="V23" s="1570" t="s">
        <v>8</v>
      </c>
      <c r="W23" s="1571">
        <f>J23</f>
        <v>100</v>
      </c>
      <c r="X23" s="1564"/>
      <c r="Y23" s="343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7"/>
      <c r="Q25" s="1569" t="str">
        <f t="shared" ref="Q25:Q46" si="11">B25</f>
        <v>临街状况</v>
      </c>
      <c r="R25" s="1570" t="s">
        <v>8</v>
      </c>
      <c r="S25" s="1571">
        <f>F25</f>
        <v>100</v>
      </c>
      <c r="T25" s="1570" t="s">
        <v>8</v>
      </c>
      <c r="U25" s="1571">
        <f>H25</f>
        <v>100</v>
      </c>
      <c r="V25" s="1570" t="s">
        <v>8</v>
      </c>
      <c r="W25" s="1571">
        <f>J25</f>
        <v>100</v>
      </c>
      <c r="X25" s="1564"/>
      <c r="Y25" s="3437"/>
      <c r="Z25" s="1572" t="str">
        <f>Q25</f>
        <v>临街状况</v>
      </c>
      <c r="AA25" s="1573">
        <f t="shared" si="3"/>
        <v>1</v>
      </c>
      <c r="AB25" s="1573">
        <f t="shared" si="4"/>
        <v>1</v>
      </c>
      <c r="AC25" s="1573">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7"/>
      <c r="Q26" s="1569" t="str">
        <f t="shared" si="11"/>
        <v>平面位置/可视性</v>
      </c>
      <c r="R26" s="1570" t="s">
        <v>8</v>
      </c>
      <c r="S26" s="1571">
        <f>F26</f>
        <v>100</v>
      </c>
      <c r="T26" s="1570" t="s">
        <v>8</v>
      </c>
      <c r="U26" s="1571">
        <f>H26</f>
        <v>100</v>
      </c>
      <c r="V26" s="1570" t="s">
        <v>8</v>
      </c>
      <c r="W26" s="1571">
        <f>J26</f>
        <v>100</v>
      </c>
      <c r="X26" s="1564"/>
      <c r="Y26" s="3437"/>
      <c r="Z26" s="1572" t="str">
        <f>Q26</f>
        <v>平面位置/可视性</v>
      </c>
      <c r="AA26" s="1573">
        <f t="shared" si="3"/>
        <v>1</v>
      </c>
      <c r="AB26" s="1573">
        <f t="shared" si="4"/>
        <v>1</v>
      </c>
      <c r="AC26" s="1573">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1"/>
      <c r="M27" s="2132"/>
      <c r="N27" s="2132"/>
      <c r="O27" s="2133"/>
      <c r="P27" s="3437"/>
      <c r="Q27" s="1149" t="str">
        <f t="shared" si="11"/>
        <v>人流量</v>
      </c>
      <c r="R27" s="1565" t="s">
        <v>8</v>
      </c>
      <c r="S27" s="1566">
        <f>F27</f>
        <v>100</v>
      </c>
      <c r="T27" s="1565" t="s">
        <v>8</v>
      </c>
      <c r="U27" s="1566">
        <f>H27</f>
        <v>100</v>
      </c>
      <c r="V27" s="1565" t="s">
        <v>8</v>
      </c>
      <c r="W27" s="1566">
        <f>J27</f>
        <v>100</v>
      </c>
      <c r="X27" s="1567"/>
      <c r="Y27" s="3437"/>
      <c r="Z27" s="1148" t="str">
        <f>Q27</f>
        <v>人流量</v>
      </c>
      <c r="AA27" s="1573">
        <f>D27/F27</f>
        <v>1</v>
      </c>
      <c r="AB27" s="1573">
        <f>D27/H27</f>
        <v>1</v>
      </c>
      <c r="AC27" s="1573">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7"/>
      <c r="Q29" s="1569">
        <f t="shared" si="11"/>
        <v>111</v>
      </c>
      <c r="R29" s="1570" t="s">
        <v>8</v>
      </c>
      <c r="S29" s="1571">
        <f t="shared" si="12"/>
        <v>100</v>
      </c>
      <c r="T29" s="1570" t="s">
        <v>8</v>
      </c>
      <c r="U29" s="1571">
        <f t="shared" si="13"/>
        <v>100</v>
      </c>
      <c r="V29" s="1570" t="s">
        <v>8</v>
      </c>
      <c r="W29" s="1571">
        <f t="shared" si="14"/>
        <v>100</v>
      </c>
      <c r="X29" s="1564"/>
      <c r="Y29" s="343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
      <c r="A32" s="2903"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8" t="s">
        <v>550</v>
      </c>
      <c r="Q32" s="1569" t="str">
        <f t="shared" si="11"/>
        <v>商业类型</v>
      </c>
      <c r="R32" s="1570" t="s">
        <v>8</v>
      </c>
      <c r="S32" s="1571">
        <f t="shared" si="12"/>
        <v>100</v>
      </c>
      <c r="T32" s="1570" t="s">
        <v>8</v>
      </c>
      <c r="U32" s="1571">
        <f t="shared" si="13"/>
        <v>100</v>
      </c>
      <c r="V32" s="1570" t="s">
        <v>8</v>
      </c>
      <c r="W32" s="1571">
        <f t="shared" si="14"/>
        <v>100</v>
      </c>
      <c r="X32" s="1564"/>
      <c r="Y32" s="3439" t="s">
        <v>550</v>
      </c>
      <c r="Z32" s="1572" t="str">
        <f t="shared" si="15"/>
        <v>商业类型</v>
      </c>
      <c r="AA32" s="1573">
        <f t="shared" si="3"/>
        <v>1</v>
      </c>
      <c r="AB32" s="1573">
        <f t="shared" si="4"/>
        <v>1</v>
      </c>
      <c r="AC32" s="1573">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9"/>
      <c r="Q33" s="1602" t="str">
        <f t="shared" si="11"/>
        <v>项目建筑规模</v>
      </c>
      <c r="R33" s="1574" t="s">
        <v>8</v>
      </c>
      <c r="S33" s="1575" t="e">
        <f t="shared" si="12"/>
        <v>#N/A</v>
      </c>
      <c r="T33" s="1574" t="s">
        <v>8</v>
      </c>
      <c r="U33" s="1575" t="e">
        <f t="shared" si="13"/>
        <v>#N/A</v>
      </c>
      <c r="V33" s="1574" t="s">
        <v>8</v>
      </c>
      <c r="W33" s="1575" t="e">
        <f t="shared" si="14"/>
        <v>#N/A</v>
      </c>
      <c r="X33" s="1576"/>
      <c r="Y33" s="3439"/>
      <c r="Z33" s="1577" t="str">
        <f t="shared" si="15"/>
        <v>项目建筑规模</v>
      </c>
      <c r="AA33" s="1573" t="e">
        <f t="shared" si="3"/>
        <v>#N/A</v>
      </c>
      <c r="AB33" s="1573" t="e">
        <f t="shared" si="4"/>
        <v>#N/A</v>
      </c>
      <c r="AC33" s="1573"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8"/>
      <c r="M34" s="2130"/>
      <c r="N34" s="2130"/>
      <c r="O34" s="2137"/>
      <c r="P34" s="3439"/>
      <c r="Q34" s="1569" t="str">
        <f t="shared" si="11"/>
        <v>建筑结构</v>
      </c>
      <c r="R34" s="1570" t="s">
        <v>8</v>
      </c>
      <c r="S34" s="1571">
        <f t="shared" si="12"/>
        <v>100</v>
      </c>
      <c r="T34" s="1570" t="s">
        <v>8</v>
      </c>
      <c r="U34" s="1571">
        <f t="shared" si="13"/>
        <v>100</v>
      </c>
      <c r="V34" s="1570" t="s">
        <v>8</v>
      </c>
      <c r="W34" s="1571">
        <f t="shared" si="14"/>
        <v>100</v>
      </c>
      <c r="X34" s="1564"/>
      <c r="Y34" s="3439"/>
      <c r="Z34" s="1572" t="str">
        <f t="shared" si="15"/>
        <v>建筑结构</v>
      </c>
      <c r="AA34" s="1573">
        <f t="shared" si="3"/>
        <v>1</v>
      </c>
      <c r="AB34" s="1573">
        <f t="shared" si="4"/>
        <v>1</v>
      </c>
      <c r="AC34" s="1573">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9"/>
      <c r="Q35" s="1569" t="str">
        <f t="shared" si="11"/>
        <v>公共部分装修</v>
      </c>
      <c r="R35" s="1570" t="s">
        <v>8</v>
      </c>
      <c r="S35" s="1571">
        <f t="shared" si="12"/>
        <v>100</v>
      </c>
      <c r="T35" s="1570" t="s">
        <v>8</v>
      </c>
      <c r="U35" s="1571">
        <f t="shared" si="13"/>
        <v>100</v>
      </c>
      <c r="V35" s="1570" t="s">
        <v>8</v>
      </c>
      <c r="W35" s="1571">
        <f t="shared" si="14"/>
        <v>100</v>
      </c>
      <c r="X35" s="1564"/>
      <c r="Y35" s="3439"/>
      <c r="Z35" s="1572" t="str">
        <f t="shared" si="15"/>
        <v>公共部分装修</v>
      </c>
      <c r="AA35" s="1573">
        <f t="shared" si="3"/>
        <v>1</v>
      </c>
      <c r="AB35" s="1573">
        <f t="shared" si="4"/>
        <v>1</v>
      </c>
      <c r="AC35" s="1573">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8"/>
      <c r="M36" s="2130"/>
      <c r="N36" s="2130"/>
      <c r="O36" s="2137"/>
      <c r="P36" s="3439"/>
      <c r="Q36" s="1569" t="str">
        <f t="shared" si="11"/>
        <v>成新度</v>
      </c>
      <c r="R36" s="1570" t="s">
        <v>8</v>
      </c>
      <c r="S36" s="1571" t="e">
        <f t="shared" si="12"/>
        <v>#N/A</v>
      </c>
      <c r="T36" s="1570" t="s">
        <v>8</v>
      </c>
      <c r="U36" s="1571" t="e">
        <f t="shared" si="13"/>
        <v>#N/A</v>
      </c>
      <c r="V36" s="1570" t="s">
        <v>8</v>
      </c>
      <c r="W36" s="1571" t="e">
        <f t="shared" si="14"/>
        <v>#N/A</v>
      </c>
      <c r="X36" s="1564"/>
      <c r="Y36" s="3439"/>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9"/>
      <c r="Q37" s="1149" t="str">
        <f t="shared" si="11"/>
        <v>市政基础设施</v>
      </c>
      <c r="R37" s="1565" t="s">
        <v>8</v>
      </c>
      <c r="S37" s="1566">
        <f t="shared" si="12"/>
        <v>100</v>
      </c>
      <c r="T37" s="1565" t="s">
        <v>8</v>
      </c>
      <c r="U37" s="1566">
        <f t="shared" si="13"/>
        <v>100</v>
      </c>
      <c r="V37" s="1565" t="s">
        <v>8</v>
      </c>
      <c r="W37" s="1566">
        <f t="shared" si="14"/>
        <v>100</v>
      </c>
      <c r="X37" s="1567"/>
      <c r="Y37" s="3439"/>
      <c r="Z37" s="1148" t="str">
        <f t="shared" si="15"/>
        <v>市政基础设施</v>
      </c>
      <c r="AA37" s="1568">
        <f t="shared" si="3"/>
        <v>1</v>
      </c>
      <c r="AB37" s="1568">
        <f t="shared" si="4"/>
        <v>1</v>
      </c>
      <c r="AC37" s="1568">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9" t="s">
        <v>766</v>
      </c>
      <c r="Q38" s="1569" t="str">
        <f t="shared" si="11"/>
        <v>业态</v>
      </c>
      <c r="R38" s="1570" t="s">
        <v>8</v>
      </c>
      <c r="S38" s="1571">
        <f t="shared" si="12"/>
        <v>100</v>
      </c>
      <c r="T38" s="1570" t="s">
        <v>8</v>
      </c>
      <c r="U38" s="1571">
        <f t="shared" si="13"/>
        <v>100</v>
      </c>
      <c r="V38" s="1570" t="s">
        <v>8</v>
      </c>
      <c r="W38" s="1571">
        <f t="shared" si="14"/>
        <v>100</v>
      </c>
      <c r="X38" s="1564"/>
      <c r="Y38" s="3439" t="s">
        <v>766</v>
      </c>
      <c r="Z38" s="1572" t="str">
        <f t="shared" si="15"/>
        <v>业态</v>
      </c>
      <c r="AA38" s="1573">
        <f t="shared" si="3"/>
        <v>1</v>
      </c>
      <c r="AB38" s="1573">
        <f t="shared" si="4"/>
        <v>1</v>
      </c>
      <c r="AC38" s="1573">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9"/>
      <c r="Q39" s="1569" t="str">
        <f t="shared" si="11"/>
        <v>层高</v>
      </c>
      <c r="R39" s="1570" t="s">
        <v>8</v>
      </c>
      <c r="S39" s="1571">
        <f t="shared" si="12"/>
        <v>100</v>
      </c>
      <c r="T39" s="1570" t="s">
        <v>8</v>
      </c>
      <c r="U39" s="1571">
        <f t="shared" si="13"/>
        <v>100</v>
      </c>
      <c r="V39" s="1570" t="s">
        <v>8</v>
      </c>
      <c r="W39" s="1571">
        <f t="shared" si="14"/>
        <v>100</v>
      </c>
      <c r="X39" s="1564"/>
      <c r="Y39" s="3439"/>
      <c r="Z39" s="1572" t="str">
        <f t="shared" si="15"/>
        <v>层高</v>
      </c>
      <c r="AA39" s="1573">
        <f t="shared" si="3"/>
        <v>1</v>
      </c>
      <c r="AB39" s="1573">
        <f t="shared" si="4"/>
        <v>1</v>
      </c>
      <c r="AC39" s="1573">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8"/>
      <c r="M40" s="2130"/>
      <c r="N40" s="2130"/>
      <c r="O40" s="2137"/>
      <c r="P40" s="3439"/>
      <c r="Q40" s="1569" t="str">
        <f t="shared" si="11"/>
        <v>单套建筑面积</v>
      </c>
      <c r="R40" s="1570" t="s">
        <v>8</v>
      </c>
      <c r="S40" s="1571">
        <f t="shared" si="12"/>
        <v>100</v>
      </c>
      <c r="T40" s="1570" t="s">
        <v>8</v>
      </c>
      <c r="U40" s="1571">
        <f t="shared" si="13"/>
        <v>100</v>
      </c>
      <c r="V40" s="1570" t="s">
        <v>8</v>
      </c>
      <c r="W40" s="1571">
        <f t="shared" si="14"/>
        <v>100</v>
      </c>
      <c r="X40" s="1564"/>
      <c r="Y40" s="3439"/>
      <c r="Z40" s="1572" t="str">
        <f t="shared" si="15"/>
        <v>单套建筑面积</v>
      </c>
      <c r="AA40" s="1573">
        <f t="shared" si="3"/>
        <v>1</v>
      </c>
      <c r="AB40" s="1573">
        <f t="shared" si="4"/>
        <v>1</v>
      </c>
      <c r="AC40" s="1573">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9"/>
      <c r="Q41" s="1602" t="str">
        <f t="shared" si="11"/>
        <v>进深比</v>
      </c>
      <c r="R41" s="1574" t="s">
        <v>8</v>
      </c>
      <c r="S41" s="1575">
        <f t="shared" si="12"/>
        <v>100</v>
      </c>
      <c r="T41" s="1574" t="s">
        <v>8</v>
      </c>
      <c r="U41" s="1575">
        <f t="shared" si="13"/>
        <v>100</v>
      </c>
      <c r="V41" s="1574" t="s">
        <v>8</v>
      </c>
      <c r="W41" s="1575">
        <f t="shared" si="14"/>
        <v>100</v>
      </c>
      <c r="X41" s="1576"/>
      <c r="Y41" s="3439"/>
      <c r="Z41" s="1577" t="str">
        <f t="shared" si="15"/>
        <v>进深比</v>
      </c>
      <c r="AA41" s="1573">
        <f t="shared" si="3"/>
        <v>1</v>
      </c>
      <c r="AB41" s="1573">
        <f t="shared" si="4"/>
        <v>1</v>
      </c>
      <c r="AC41" s="1573">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9"/>
      <c r="Q42" s="1569" t="str">
        <f t="shared" si="11"/>
        <v>内部装修</v>
      </c>
      <c r="R42" s="1570" t="s">
        <v>8</v>
      </c>
      <c r="S42" s="1571">
        <f t="shared" si="12"/>
        <v>100</v>
      </c>
      <c r="T42" s="1570" t="s">
        <v>8</v>
      </c>
      <c r="U42" s="1571">
        <f t="shared" si="13"/>
        <v>100</v>
      </c>
      <c r="V42" s="1570" t="s">
        <v>8</v>
      </c>
      <c r="W42" s="1571">
        <f t="shared" si="14"/>
        <v>100</v>
      </c>
      <c r="X42" s="1564"/>
      <c r="Y42" s="3439"/>
      <c r="Z42" s="1572" t="str">
        <f t="shared" si="15"/>
        <v>内部装修</v>
      </c>
      <c r="AA42" s="1573">
        <f t="shared" si="3"/>
        <v>1</v>
      </c>
      <c r="AB42" s="1573">
        <f t="shared" si="4"/>
        <v>1</v>
      </c>
      <c r="AC42" s="1573">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9"/>
      <c r="Q43" s="1569" t="str">
        <f t="shared" si="11"/>
        <v>内部装修维护情况</v>
      </c>
      <c r="R43" s="1570" t="s">
        <v>8</v>
      </c>
      <c r="S43" s="1571">
        <f t="shared" si="12"/>
        <v>100</v>
      </c>
      <c r="T43" s="1570" t="s">
        <v>8</v>
      </c>
      <c r="U43" s="1571">
        <f t="shared" si="13"/>
        <v>100</v>
      </c>
      <c r="V43" s="1570" t="s">
        <v>8</v>
      </c>
      <c r="W43" s="1571">
        <f t="shared" si="14"/>
        <v>100</v>
      </c>
      <c r="X43" s="1564"/>
      <c r="Y43" s="3439"/>
      <c r="Z43" s="1572" t="str">
        <f t="shared" si="15"/>
        <v>内部装修维护情况</v>
      </c>
      <c r="AA43" s="1573">
        <f t="shared" si="3"/>
        <v>1</v>
      </c>
      <c r="AB43" s="1573">
        <f t="shared" si="4"/>
        <v>1</v>
      </c>
      <c r="AC43" s="1573">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9"/>
      <c r="Q44" s="1149">
        <f t="shared" si="11"/>
        <v>111</v>
      </c>
      <c r="R44" s="1565" t="s">
        <v>8</v>
      </c>
      <c r="S44" s="1566">
        <f t="shared" si="12"/>
        <v>100</v>
      </c>
      <c r="T44" s="1565" t="s">
        <v>8</v>
      </c>
      <c r="U44" s="1566">
        <f t="shared" si="13"/>
        <v>100</v>
      </c>
      <c r="V44" s="1565" t="s">
        <v>8</v>
      </c>
      <c r="W44" s="1566">
        <f t="shared" si="14"/>
        <v>100</v>
      </c>
      <c r="X44" s="1567"/>
      <c r="Y44" s="343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9"/>
      <c r="Q45" s="1569">
        <f t="shared" si="11"/>
        <v>111</v>
      </c>
      <c r="R45" s="1570" t="s">
        <v>8</v>
      </c>
      <c r="S45" s="1571">
        <f t="shared" si="12"/>
        <v>100</v>
      </c>
      <c r="T45" s="1570" t="s">
        <v>8</v>
      </c>
      <c r="U45" s="1571">
        <f t="shared" si="13"/>
        <v>100</v>
      </c>
      <c r="V45" s="1570" t="s">
        <v>8</v>
      </c>
      <c r="W45" s="1571">
        <f t="shared" si="14"/>
        <v>100</v>
      </c>
      <c r="X45" s="1564"/>
      <c r="Y45" s="3439"/>
      <c r="Z45" s="1572">
        <f t="shared" si="15"/>
        <v>111</v>
      </c>
      <c r="AA45" s="1573">
        <f t="shared" si="3"/>
        <v>1</v>
      </c>
      <c r="AB45" s="1573">
        <f t="shared" si="4"/>
        <v>1</v>
      </c>
      <c r="AC45" s="1573">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518"/>
      <c r="Q46" s="1569">
        <f t="shared" si="11"/>
        <v>111</v>
      </c>
      <c r="R46" s="1570" t="s">
        <v>8</v>
      </c>
      <c r="S46" s="1571">
        <f t="shared" si="12"/>
        <v>100</v>
      </c>
      <c r="T46" s="1570" t="s">
        <v>8</v>
      </c>
      <c r="U46" s="1571">
        <f t="shared" si="13"/>
        <v>100</v>
      </c>
      <c r="V46" s="1570" t="s">
        <v>8</v>
      </c>
      <c r="W46" s="1571">
        <f t="shared" si="14"/>
        <v>100</v>
      </c>
      <c r="X46" s="1564"/>
      <c r="Y46" s="3518"/>
      <c r="Z46" s="1572">
        <f t="shared" si="15"/>
        <v>111</v>
      </c>
      <c r="AA46" s="1573">
        <f t="shared" si="3"/>
        <v>1</v>
      </c>
      <c r="AB46" s="1573">
        <f t="shared" si="4"/>
        <v>1</v>
      </c>
      <c r="AC46" s="1573">
        <f t="shared" si="5"/>
        <v>1</v>
      </c>
    </row>
    <row r="47" spans="1:29" ht="15">
      <c r="A47" s="606" t="s">
        <v>736</v>
      </c>
      <c r="B47" s="885"/>
      <c r="C47" s="2623" t="s">
        <v>1</v>
      </c>
      <c r="D47" s="2624"/>
      <c r="E47" s="2625"/>
      <c r="F47" s="2626"/>
      <c r="G47" s="2627"/>
      <c r="H47" s="2628"/>
      <c r="I47" s="2625"/>
      <c r="J47" s="2628"/>
      <c r="K47" s="1608"/>
      <c r="L47" s="2140"/>
      <c r="M47" s="2141"/>
      <c r="N47" s="2130"/>
      <c r="O47" s="2141"/>
      <c r="P47" s="3401" t="str">
        <f>A47</f>
        <v>成交单价（元/平方米）</v>
      </c>
      <c r="Q47" s="3401"/>
      <c r="R47" s="3517">
        <f>E47</f>
        <v>0</v>
      </c>
      <c r="S47" s="3517"/>
      <c r="T47" s="3517">
        <f>G47</f>
        <v>0</v>
      </c>
      <c r="U47" s="3517"/>
      <c r="V47" s="3517">
        <f>I47</f>
        <v>0</v>
      </c>
      <c r="W47" s="3517"/>
      <c r="X47" s="1556"/>
      <c r="Y47" s="1578"/>
      <c r="Z47" s="1556"/>
      <c r="AA47" s="1556"/>
      <c r="AB47" s="1556"/>
      <c r="AC47" s="1556"/>
    </row>
    <row r="48" spans="1:29" ht="15.75" thickBot="1">
      <c r="A48" s="614" t="s">
        <v>2760</v>
      </c>
      <c r="B48" s="886"/>
      <c r="C48" s="2629" t="e">
        <f>R49</f>
        <v>#DIV/0!</v>
      </c>
      <c r="D48" s="2630"/>
      <c r="E48" s="2631" t="e">
        <f>R48</f>
        <v>#DIV/0!</v>
      </c>
      <c r="F48" s="2631"/>
      <c r="G48" s="2629" t="e">
        <f>T48</f>
        <v>#DIV/0!</v>
      </c>
      <c r="H48" s="2630"/>
      <c r="I48" s="2631" t="e">
        <f>V48</f>
        <v>#DIV/0!</v>
      </c>
      <c r="J48" s="2630"/>
      <c r="K48" s="1609"/>
      <c r="L48" s="2140"/>
      <c r="M48" s="2141"/>
      <c r="N48" s="2130"/>
      <c r="O48" s="2141"/>
      <c r="P48" s="3401" t="str">
        <f>A48</f>
        <v>比较价格（元/平方米）</v>
      </c>
      <c r="Q48" s="3401"/>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6"/>
      <c r="Y48" s="1556"/>
      <c r="Z48" s="1556"/>
      <c r="AA48" s="1556"/>
      <c r="AB48" s="1556"/>
      <c r="AC48" s="1556"/>
    </row>
    <row r="49" spans="1:29" ht="15.75" thickBot="1">
      <c r="A49" s="620" t="s">
        <v>2924</v>
      </c>
      <c r="B49" s="621"/>
      <c r="C49" s="2632" t="e">
        <f>R49</f>
        <v>#DIV/0!</v>
      </c>
      <c r="D49" s="2632"/>
      <c r="E49" s="2632"/>
      <c r="F49" s="2632"/>
      <c r="G49" s="2632"/>
      <c r="H49" s="2632"/>
      <c r="I49" s="2632"/>
      <c r="J49" s="2632"/>
      <c r="K49" s="1610"/>
      <c r="L49" s="2140"/>
      <c r="M49" s="2141"/>
      <c r="N49" s="2130"/>
      <c r="O49" s="2141"/>
      <c r="P49" s="3398" t="str">
        <f>A49</f>
        <v>估价对象XX用房的比较价格（楼面单价，元/平方米）</v>
      </c>
      <c r="Q49" s="3399"/>
      <c r="R49" s="3516" t="e">
        <f>IF(F1="售价",ROUND(AVERAGE(R48:V48),0),ROUND(AVERAGE(R48:V48),1))</f>
        <v>#DIV/0!</v>
      </c>
      <c r="S49" s="3516"/>
      <c r="T49" s="3516"/>
      <c r="U49" s="3516"/>
      <c r="V49" s="3516"/>
      <c r="W49" s="3516"/>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529</v>
      </c>
      <c r="B58" s="645"/>
      <c r="C58" s="2798" t="str">
        <f>YEAR(C7)&amp;"-"&amp;MONTH(C7)</f>
        <v>2018-8</v>
      </c>
      <c r="D58" s="2800">
        <f>EDATE(C58,-1)</f>
        <v>43282</v>
      </c>
      <c r="E58" s="2800">
        <f t="shared" ref="E58:O58" si="16">EDATE(D58,-1)</f>
        <v>43252</v>
      </c>
      <c r="F58" s="2800">
        <f t="shared" si="16"/>
        <v>43221</v>
      </c>
      <c r="G58" s="2800">
        <f t="shared" si="16"/>
        <v>43191</v>
      </c>
      <c r="H58" s="2800">
        <f t="shared" si="16"/>
        <v>43160</v>
      </c>
      <c r="I58" s="2800">
        <f t="shared" si="16"/>
        <v>43132</v>
      </c>
      <c r="J58" s="2800">
        <f t="shared" si="16"/>
        <v>43101</v>
      </c>
      <c r="K58" s="2800">
        <f t="shared" si="16"/>
        <v>43070</v>
      </c>
      <c r="L58" s="2800">
        <f t="shared" si="16"/>
        <v>43040</v>
      </c>
      <c r="M58" s="2800">
        <f t="shared" si="16"/>
        <v>43009</v>
      </c>
      <c r="N58" s="2800">
        <f t="shared" si="16"/>
        <v>42979</v>
      </c>
      <c r="O58" s="2800">
        <f t="shared" si="16"/>
        <v>42948</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575</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531</v>
      </c>
      <c r="B61" s="647"/>
      <c r="C61" s="659" t="s">
        <v>576</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7">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577</v>
      </c>
      <c r="B63" s="664" t="s">
        <v>534</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539</v>
      </c>
      <c r="B76" s="664" t="s">
        <v>578</v>
      </c>
      <c r="C76" s="702" t="s">
        <v>579</v>
      </c>
      <c r="D76" s="702" t="s">
        <v>580</v>
      </c>
      <c r="E76" s="702" t="s">
        <v>581</v>
      </c>
      <c r="F76" s="702" t="s">
        <v>582</v>
      </c>
      <c r="G76" s="702" t="s">
        <v>583</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586</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579</v>
      </c>
      <c r="D80" s="707" t="s">
        <v>580</v>
      </c>
      <c r="E80" s="707" t="s">
        <v>581</v>
      </c>
      <c r="F80" s="707" t="s">
        <v>582</v>
      </c>
      <c r="G80" s="707" t="s">
        <v>583</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93" t="s">
        <v>2558</v>
      </c>
      <c r="C82" s="2594" t="s">
        <v>2559</v>
      </c>
      <c r="D82" s="2594" t="s">
        <v>2560</v>
      </c>
      <c r="E82" s="2594" t="s">
        <v>2561</v>
      </c>
      <c r="F82" s="2594" t="s">
        <v>2562</v>
      </c>
      <c r="G82" s="2594" t="s">
        <v>2563</v>
      </c>
      <c r="H82" s="673"/>
      <c r="I82" s="673"/>
      <c r="J82" s="673"/>
      <c r="K82" s="673"/>
      <c r="L82" s="673"/>
      <c r="M82" s="2597"/>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744</v>
      </c>
      <c r="C84" s="707" t="s">
        <v>579</v>
      </c>
      <c r="D84" s="707" t="s">
        <v>580</v>
      </c>
      <c r="E84" s="707" t="s">
        <v>581</v>
      </c>
      <c r="F84" s="707" t="s">
        <v>582</v>
      </c>
      <c r="G84" s="707" t="s">
        <v>583</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771</v>
      </c>
      <c r="C86" s="687"/>
      <c r="D86" s="687"/>
      <c r="E86" s="687"/>
      <c r="F86" s="687"/>
      <c r="G86" s="687"/>
      <c r="H86" s="687"/>
      <c r="I86" s="687"/>
      <c r="J86" s="687"/>
      <c r="K86" s="687"/>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0"/>
      <c r="G88" s="687"/>
      <c r="H88" s="687"/>
      <c r="I88" s="687"/>
      <c r="J88" s="687"/>
      <c r="K88" s="687"/>
      <c r="L88" s="687"/>
      <c r="M88" s="889"/>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8"/>
      <c r="M92" s="889"/>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1"/>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551</v>
      </c>
      <c r="B100" s="664" t="s">
        <v>772</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749</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751</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773</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774</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775</v>
      </c>
      <c r="C118" s="907"/>
      <c r="D118" s="907"/>
      <c r="E118" s="907"/>
      <c r="F118" s="907"/>
      <c r="G118" s="907"/>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776</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755</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1"/>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3"/>
      <c r="G1" s="1598" t="s">
        <v>721</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467</v>
      </c>
      <c r="B2" s="849"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519</v>
      </c>
      <c r="B3" s="509" t="e">
        <f>C50</f>
        <v>#DIV/0!</v>
      </c>
      <c r="C3" s="851" t="s">
        <v>722</v>
      </c>
      <c r="D3" s="850">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521</v>
      </c>
      <c r="B4" s="512"/>
      <c r="C4" s="3407" t="s">
        <v>522</v>
      </c>
      <c r="D4" s="3408"/>
      <c r="E4" s="3446" t="s">
        <v>523</v>
      </c>
      <c r="F4" s="3447"/>
      <c r="G4" s="3407" t="s">
        <v>524</v>
      </c>
      <c r="H4" s="3408"/>
      <c r="I4" s="3407" t="s">
        <v>525</v>
      </c>
      <c r="J4" s="3408"/>
      <c r="K4" s="513" t="s">
        <v>526</v>
      </c>
      <c r="L4" s="2129"/>
      <c r="M4" s="2130"/>
      <c r="N4" s="2130"/>
      <c r="O4" s="2130"/>
      <c r="P4" s="3528" t="s">
        <v>527</v>
      </c>
      <c r="Q4" s="3410"/>
      <c r="R4" s="3415" t="s">
        <v>523</v>
      </c>
      <c r="S4" s="3416"/>
      <c r="T4" s="3415" t="s">
        <v>524</v>
      </c>
      <c r="U4" s="3416"/>
      <c r="V4" s="3402" t="s">
        <v>525</v>
      </c>
      <c r="W4" s="3402"/>
      <c r="X4" s="1564"/>
      <c r="Y4" s="3415" t="s">
        <v>527</v>
      </c>
      <c r="Z4" s="3416"/>
      <c r="AA4" s="3404" t="s">
        <v>523</v>
      </c>
      <c r="AB4" s="3404"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529"/>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530"/>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35"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35" t="s">
        <v>533</v>
      </c>
      <c r="Q8" s="3434"/>
      <c r="R8" s="1565" t="s">
        <v>8</v>
      </c>
      <c r="S8" s="1566">
        <f t="shared" si="0"/>
        <v>0</v>
      </c>
      <c r="T8" s="1565" t="s">
        <v>8</v>
      </c>
      <c r="U8" s="1566">
        <f t="shared" si="1"/>
        <v>0</v>
      </c>
      <c r="V8" s="1565" t="s">
        <v>8</v>
      </c>
      <c r="W8" s="1566">
        <f t="shared" si="2"/>
        <v>0</v>
      </c>
      <c r="X8" s="1567"/>
      <c r="Y8" s="3433" t="s">
        <v>533</v>
      </c>
      <c r="Z8" s="3434"/>
      <c r="AA8" s="1568" t="e">
        <f t="shared" ref="AA8:AA47" si="3">D8/F8</f>
        <v>#DIV/0!</v>
      </c>
      <c r="AB8" s="1568" t="e">
        <f t="shared" ref="AB8:AB47" si="4">D8/H8</f>
        <v>#DIV/0!</v>
      </c>
      <c r="AC8" s="1568" t="e">
        <f t="shared" ref="AC8:AC47" si="5">D8/J8</f>
        <v>#DIV/0!</v>
      </c>
    </row>
    <row r="9" spans="1:29" s="1218" customFormat="1" ht="15">
      <c r="A9" s="2910"/>
      <c r="B9" s="2917"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27"/>
      <c r="F12" s="254">
        <f>SUMIF(71:71,E12,72:72)-SUMIF(71:71,C12,72:72)+100</f>
        <v>100</v>
      </c>
      <c r="G12" s="908"/>
      <c r="H12" s="254">
        <f>SUMIF(71:71,G12,72:72)-SUMIF(71:71,C12,72:72)+100</f>
        <v>100</v>
      </c>
      <c r="I12" s="527"/>
      <c r="J12" s="254">
        <f>SUMIF(71:71,I12,72:72)-SUMIF(71:71,C12,72:72)+100</f>
        <v>100</v>
      </c>
      <c r="K12" s="580"/>
      <c r="L12" s="2131"/>
      <c r="M12" s="2132"/>
      <c r="N12" s="2132"/>
      <c r="O12" s="2132"/>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27"/>
      <c r="F13" s="254">
        <f>SUMIF(73:73,E13,74:74)-SUMIF(73:73,C13,74:74)+100</f>
        <v>100</v>
      </c>
      <c r="G13" s="908"/>
      <c r="H13" s="539">
        <f>SUMIF(73:73,G13,74:74)-SUMIF(73:73,C13,74:74)+100</f>
        <v>100</v>
      </c>
      <c r="I13" s="527"/>
      <c r="J13" s="539">
        <f>SUMIF(73:73,I13,74:74)-SUMIF(73:73,C13,74:74)+100</f>
        <v>100</v>
      </c>
      <c r="K13" s="580"/>
      <c r="L13" s="2138"/>
      <c r="M13" s="2130"/>
      <c r="N13" s="2130"/>
      <c r="O13" s="2130"/>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909"/>
      <c r="F14" s="545">
        <f>SUMIF(75:75,E14,76:76)-SUMIF(75:75,C14,76:76)+100</f>
        <v>100</v>
      </c>
      <c r="G14" s="908"/>
      <c r="H14" s="545">
        <f>SUMIF(75:75,G14,76:76)-SUMIF(75:75,C14,76:76)+100</f>
        <v>100</v>
      </c>
      <c r="I14" s="527"/>
      <c r="J14" s="545">
        <f>SUMIF(75:75,I14,76:76)-SUMIF(75:75,C14,76:76)+100</f>
        <v>100</v>
      </c>
      <c r="K14" s="580"/>
      <c r="L14" s="2138"/>
      <c r="M14" s="2130"/>
      <c r="N14" s="2130"/>
      <c r="O14" s="2130"/>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8"/>
      <c r="M15" s="2130"/>
      <c r="N15" s="2130"/>
      <c r="O15" s="2130"/>
      <c r="P15" s="3436" t="s">
        <v>540</v>
      </c>
      <c r="Q15" s="1569" t="str">
        <f t="shared" si="6"/>
        <v>办公集聚程度</v>
      </c>
      <c r="R15" s="1570" t="s">
        <v>8</v>
      </c>
      <c r="S15" s="1571">
        <f t="shared" si="0"/>
        <v>100</v>
      </c>
      <c r="T15" s="1570" t="s">
        <v>8</v>
      </c>
      <c r="U15" s="1571">
        <f t="shared" si="1"/>
        <v>100</v>
      </c>
      <c r="V15" s="1570" t="s">
        <v>8</v>
      </c>
      <c r="W15" s="1571">
        <f t="shared" si="2"/>
        <v>100</v>
      </c>
      <c r="X15" s="1564"/>
      <c r="Y15" s="3436" t="s">
        <v>540</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7"/>
      <c r="L16" s="2138"/>
      <c r="M16" s="2130"/>
      <c r="N16" s="2130"/>
      <c r="O16" s="2130"/>
      <c r="P16" s="3437"/>
      <c r="Q16" s="1569"/>
      <c r="R16" s="1570"/>
      <c r="S16" s="1571"/>
      <c r="T16" s="1570"/>
      <c r="U16" s="1571"/>
      <c r="V16" s="1570"/>
      <c r="W16" s="1571"/>
      <c r="X16" s="1564"/>
      <c r="Y16" s="3437"/>
      <c r="Z16" s="1572"/>
      <c r="AA16" s="1573">
        <v>1</v>
      </c>
      <c r="AB16" s="1573">
        <v>1</v>
      </c>
      <c r="AC16" s="1573">
        <v>1</v>
      </c>
    </row>
    <row r="17" spans="1:29" ht="128.25">
      <c r="A17" s="531"/>
      <c r="B17" s="559" t="s">
        <v>296</v>
      </c>
      <c r="C17" s="572" t="str">
        <f>估价对象房地状况!C6</f>
        <v>估价对象周边道路密集程度较好、公共交通通达情况较好、有7、8、19等公共交通，停车便捷程度较好，综合评价交通便捷度较好。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8"/>
      <c r="M17" s="2130"/>
      <c r="N17" s="2130"/>
      <c r="O17" s="2130"/>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7"/>
      <c r="L18" s="2138"/>
      <c r="M18" s="2130"/>
      <c r="N18" s="2130"/>
      <c r="O18" s="2130"/>
      <c r="P18" s="3437"/>
      <c r="Q18" s="1569"/>
      <c r="R18" s="1570"/>
      <c r="S18" s="1571"/>
      <c r="T18" s="1570"/>
      <c r="U18" s="1571"/>
      <c r="V18" s="1570"/>
      <c r="W18" s="1571"/>
      <c r="X18" s="1564"/>
      <c r="Y18" s="3437"/>
      <c r="Z18" s="1572"/>
      <c r="AA18" s="1573">
        <v>1</v>
      </c>
      <c r="AB18" s="1573">
        <v>1</v>
      </c>
      <c r="AC18" s="1573">
        <v>1</v>
      </c>
    </row>
    <row r="19" spans="1:29" ht="228">
      <c r="A19" s="531"/>
      <c r="B19" s="2599" t="s">
        <v>2546</v>
      </c>
      <c r="C19" s="572" t="str">
        <f>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9" s="564">
        <v>100</v>
      </c>
      <c r="E19" s="571"/>
      <c r="F19" s="564">
        <f>SUMIF(81:81,E20,82:82)-SUMIF(81:81,C20,82:82)+100</f>
        <v>100</v>
      </c>
      <c r="G19" s="569"/>
      <c r="H19" s="558">
        <f>SUMIF(81:81,G20,82:82)-SUMIF(81:81,C20,82:82)+100</f>
        <v>100</v>
      </c>
      <c r="I19" s="569"/>
      <c r="J19" s="558">
        <f>SUMIF(81:81,I20,82:82)-SUMIF(81:81,C20,82:82)+100</f>
        <v>100</v>
      </c>
      <c r="K19" s="896"/>
      <c r="L19" s="2138"/>
      <c r="M19" s="2130"/>
      <c r="N19" s="2130"/>
      <c r="O19" s="2130"/>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7"/>
      <c r="L20" s="2138"/>
      <c r="M20" s="2130"/>
      <c r="N20" s="2130"/>
      <c r="O20" s="2130"/>
      <c r="P20" s="3437"/>
      <c r="Q20" s="1569"/>
      <c r="R20" s="1570"/>
      <c r="S20" s="1571"/>
      <c r="T20" s="1570"/>
      <c r="U20" s="1571"/>
      <c r="V20" s="1570"/>
      <c r="W20" s="1571"/>
      <c r="X20" s="1564"/>
      <c r="Y20" s="3437"/>
      <c r="Z20" s="1572"/>
      <c r="AA20" s="1573">
        <v>1</v>
      </c>
      <c r="AB20" s="1573">
        <v>1</v>
      </c>
      <c r="AC20" s="1573">
        <v>1</v>
      </c>
    </row>
    <row r="21" spans="1:29" ht="42.75">
      <c r="A21" s="531"/>
      <c r="B21" s="2587" t="s">
        <v>2558</v>
      </c>
      <c r="C21" s="572" t="str">
        <f>估价对象房地状况!C8</f>
        <v>估价对象所在区域基础设施水平达到“六通”。</v>
      </c>
      <c r="D21" s="564">
        <v>100</v>
      </c>
      <c r="E21" s="571"/>
      <c r="F21" s="564">
        <f>SUMIF(83:83,E22,84:84)-SUMIF(83:83,C22,84:84)+100</f>
        <v>100</v>
      </c>
      <c r="G21" s="569"/>
      <c r="H21" s="564">
        <f>SUMIF(83:83,G22,84:84)-SUMIF(83:83,C22,84:84)+100</f>
        <v>100</v>
      </c>
      <c r="I21" s="569"/>
      <c r="J21" s="564">
        <f>SUMIF(83:83,I22,84:84)-SUMIF(83:83,C22,84:84)+100</f>
        <v>100</v>
      </c>
      <c r="K21" s="896"/>
      <c r="L21" s="2138"/>
      <c r="M21" s="2130"/>
      <c r="N21" s="2130"/>
      <c r="O21" s="2130"/>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98"/>
      <c r="L22" s="2138"/>
      <c r="M22" s="2130"/>
      <c r="N22" s="2130"/>
      <c r="O22" s="2130"/>
      <c r="P22" s="3437"/>
      <c r="Q22" s="2575"/>
      <c r="R22" s="1570"/>
      <c r="S22" s="1571"/>
      <c r="T22" s="1570"/>
      <c r="U22" s="1571"/>
      <c r="V22" s="1570"/>
      <c r="W22" s="1571"/>
      <c r="X22" s="2577"/>
      <c r="Y22" s="3437"/>
      <c r="Z22" s="2576"/>
      <c r="AA22" s="1573">
        <v>1</v>
      </c>
      <c r="AB22" s="1573">
        <v>1</v>
      </c>
      <c r="AC22" s="1573">
        <v>1</v>
      </c>
    </row>
    <row r="23" spans="1:29" ht="99.75">
      <c r="A23" s="531"/>
      <c r="B23" s="559" t="s">
        <v>778</v>
      </c>
      <c r="C23" s="572" t="str">
        <f>估价对象房地状况!C9</f>
        <v>区域自然环境：爱民园、于山风景区等；人文环境：孝悌图书馆、福建大剧院；综合评价环境状况较好。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8"/>
      <c r="M23" s="2130"/>
      <c r="N23" s="2130"/>
      <c r="O23" s="2130"/>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7"/>
      <c r="L24" s="2138"/>
      <c r="M24" s="2130"/>
      <c r="N24" s="2130"/>
      <c r="O24" s="2130"/>
      <c r="P24" s="3437"/>
      <c r="Q24" s="1569"/>
      <c r="R24" s="1570"/>
      <c r="S24" s="1571"/>
      <c r="T24" s="1570"/>
      <c r="U24" s="1571"/>
      <c r="V24" s="1570"/>
      <c r="W24" s="1571"/>
      <c r="X24" s="1564"/>
      <c r="Y24" s="3437"/>
      <c r="Z24" s="1572"/>
      <c r="AA24" s="1573">
        <v>1</v>
      </c>
      <c r="AB24" s="1573">
        <v>1</v>
      </c>
      <c r="AC24" s="1573">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38"/>
      <c r="M25" s="2130"/>
      <c r="N25" s="2130"/>
      <c r="O25" s="2130"/>
      <c r="P25" s="3437"/>
      <c r="Q25" s="1569" t="str">
        <f>B25</f>
        <v>毗邻道路的类型与等级</v>
      </c>
      <c r="R25" s="1570" t="s">
        <v>8</v>
      </c>
      <c r="S25" s="1571">
        <f>F25</f>
        <v>100</v>
      </c>
      <c r="T25" s="1570" t="s">
        <v>8</v>
      </c>
      <c r="U25" s="1571">
        <f>H25</f>
        <v>100</v>
      </c>
      <c r="V25" s="1570" t="s">
        <v>8</v>
      </c>
      <c r="W25" s="1571">
        <f>J25</f>
        <v>100</v>
      </c>
      <c r="X25" s="1564"/>
      <c r="Y25" s="343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7"/>
      <c r="L26" s="2138"/>
      <c r="M26" s="2130"/>
      <c r="N26" s="2130"/>
      <c r="O26" s="2130"/>
      <c r="P26" s="3437"/>
      <c r="Q26" s="1569"/>
      <c r="R26" s="1570"/>
      <c r="S26" s="1571"/>
      <c r="T26" s="1570"/>
      <c r="U26" s="1571"/>
      <c r="V26" s="1570"/>
      <c r="W26" s="1571"/>
      <c r="X26" s="1564"/>
      <c r="Y26" s="3437"/>
      <c r="Z26" s="1572"/>
      <c r="AA26" s="1573">
        <v>1</v>
      </c>
      <c r="AB26" s="1573">
        <v>1</v>
      </c>
      <c r="AC26" s="1573">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7"/>
      <c r="Q27" s="1569" t="str">
        <f t="shared" ref="Q27:Q47" si="11">B27</f>
        <v>楼层</v>
      </c>
      <c r="R27" s="1570" t="s">
        <v>8</v>
      </c>
      <c r="S27" s="1571">
        <f>F27</f>
        <v>100</v>
      </c>
      <c r="T27" s="1570" t="s">
        <v>8</v>
      </c>
      <c r="U27" s="1571">
        <f>H27</f>
        <v>100</v>
      </c>
      <c r="V27" s="1570" t="s">
        <v>8</v>
      </c>
      <c r="W27" s="1571">
        <f>J27</f>
        <v>100</v>
      </c>
      <c r="X27" s="1564"/>
      <c r="Y27" s="3437"/>
      <c r="Z27" s="1572" t="str">
        <f>Q27</f>
        <v>楼层</v>
      </c>
      <c r="AA27" s="1573">
        <f t="shared" si="3"/>
        <v>1</v>
      </c>
      <c r="AB27" s="1573">
        <f t="shared" si="4"/>
        <v>1</v>
      </c>
      <c r="AC27" s="1573">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1"/>
      <c r="M28" s="2132"/>
      <c r="N28" s="2132"/>
      <c r="O28" s="2132"/>
      <c r="P28" s="3437"/>
      <c r="Q28" s="1149" t="str">
        <f t="shared" si="11"/>
        <v>朝向</v>
      </c>
      <c r="R28" s="1565" t="s">
        <v>8</v>
      </c>
      <c r="S28" s="1566">
        <f>F28</f>
        <v>100</v>
      </c>
      <c r="T28" s="1565" t="s">
        <v>8</v>
      </c>
      <c r="U28" s="1566">
        <f>H28</f>
        <v>100</v>
      </c>
      <c r="V28" s="1565" t="s">
        <v>8</v>
      </c>
      <c r="W28" s="1566">
        <f>J28</f>
        <v>100</v>
      </c>
      <c r="X28" s="1567"/>
      <c r="Y28" s="3437"/>
      <c r="Z28" s="1148" t="str">
        <f>Q28</f>
        <v>朝向</v>
      </c>
      <c r="AA28" s="1573">
        <f>D28/F28</f>
        <v>1</v>
      </c>
      <c r="AB28" s="1573">
        <f>D28/H28</f>
        <v>1</v>
      </c>
      <c r="AC28" s="1573">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8"/>
      <c r="M29" s="2130"/>
      <c r="N29" s="2130"/>
      <c r="O29" s="2130"/>
      <c r="P29" s="3437"/>
      <c r="Q29" s="1569">
        <f t="shared" si="11"/>
        <v>111</v>
      </c>
      <c r="R29" s="1570" t="s">
        <v>8</v>
      </c>
      <c r="S29" s="1571">
        <f t="shared" ref="S29:S47" si="12">F29</f>
        <v>100</v>
      </c>
      <c r="T29" s="1570" t="s">
        <v>8</v>
      </c>
      <c r="U29" s="1571">
        <f t="shared" ref="U29:U47" si="13">H29</f>
        <v>100</v>
      </c>
      <c r="V29" s="1570" t="s">
        <v>8</v>
      </c>
      <c r="W29" s="1571">
        <f t="shared" ref="W29:W47" si="14">J29</f>
        <v>100</v>
      </c>
      <c r="X29" s="1564"/>
      <c r="Y29" s="3437"/>
      <c r="Z29" s="1572">
        <f t="shared" ref="Z29:Z47" si="15">Q29</f>
        <v>111</v>
      </c>
      <c r="AA29" s="1573">
        <f t="shared" si="3"/>
        <v>1</v>
      </c>
      <c r="AB29" s="1573">
        <f t="shared" si="4"/>
        <v>1</v>
      </c>
      <c r="AC29" s="1573">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8"/>
      <c r="M30" s="2130"/>
      <c r="N30" s="2130"/>
      <c r="O30" s="2130"/>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8"/>
      <c r="M31" s="2130"/>
      <c r="N31" s="2130"/>
      <c r="O31" s="2130"/>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8"/>
      <c r="M32" s="2130"/>
      <c r="N32" s="2130"/>
      <c r="O32" s="2130"/>
      <c r="P32" s="3437"/>
      <c r="Q32" s="1569">
        <f t="shared" si="11"/>
        <v>111</v>
      </c>
      <c r="R32" s="1570" t="s">
        <v>8</v>
      </c>
      <c r="S32" s="1571">
        <f t="shared" si="12"/>
        <v>100</v>
      </c>
      <c r="T32" s="1570" t="s">
        <v>8</v>
      </c>
      <c r="U32" s="1571">
        <f t="shared" si="13"/>
        <v>100</v>
      </c>
      <c r="V32" s="1570" t="s">
        <v>8</v>
      </c>
      <c r="W32" s="1571">
        <f t="shared" si="14"/>
        <v>100</v>
      </c>
      <c r="X32" s="1564"/>
      <c r="Y32" s="3437"/>
      <c r="Z32" s="1572">
        <f t="shared" si="15"/>
        <v>111</v>
      </c>
      <c r="AA32" s="1573">
        <f t="shared" si="3"/>
        <v>1</v>
      </c>
      <c r="AB32" s="1573">
        <f t="shared" si="4"/>
        <v>1</v>
      </c>
      <c r="AC32" s="1573">
        <f t="shared" si="5"/>
        <v>1</v>
      </c>
    </row>
    <row r="33" spans="1:29" ht="15">
      <c r="A33" s="2903"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8"/>
      <c r="M33" s="2130"/>
      <c r="N33" s="2130"/>
      <c r="O33" s="2130"/>
      <c r="P33" s="3438" t="s">
        <v>550</v>
      </c>
      <c r="Q33" s="1569" t="str">
        <f t="shared" si="11"/>
        <v>建筑类型</v>
      </c>
      <c r="R33" s="1570" t="s">
        <v>8</v>
      </c>
      <c r="S33" s="1571">
        <f t="shared" si="12"/>
        <v>100</v>
      </c>
      <c r="T33" s="1570" t="s">
        <v>8</v>
      </c>
      <c r="U33" s="1571">
        <f t="shared" si="13"/>
        <v>100</v>
      </c>
      <c r="V33" s="1570" t="s">
        <v>8</v>
      </c>
      <c r="W33" s="1571">
        <f t="shared" si="14"/>
        <v>100</v>
      </c>
      <c r="X33" s="1564"/>
      <c r="Y33" s="3439" t="s">
        <v>550</v>
      </c>
      <c r="Z33" s="1572" t="str">
        <f t="shared" si="15"/>
        <v>建筑类型</v>
      </c>
      <c r="AA33" s="1573">
        <f t="shared" si="3"/>
        <v>1</v>
      </c>
      <c r="AB33" s="1573">
        <f t="shared" si="4"/>
        <v>1</v>
      </c>
      <c r="AC33" s="1573">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39"/>
      <c r="Q34" s="1602" t="str">
        <f t="shared" si="11"/>
        <v>项目建筑规模</v>
      </c>
      <c r="R34" s="1574" t="s">
        <v>8</v>
      </c>
      <c r="S34" s="1575" t="e">
        <f t="shared" si="12"/>
        <v>#N/A</v>
      </c>
      <c r="T34" s="1574" t="s">
        <v>8</v>
      </c>
      <c r="U34" s="1575" t="e">
        <f t="shared" si="13"/>
        <v>#N/A</v>
      </c>
      <c r="V34" s="1574" t="s">
        <v>8</v>
      </c>
      <c r="W34" s="1575" t="e">
        <f t="shared" si="14"/>
        <v>#N/A</v>
      </c>
      <c r="X34" s="1576"/>
      <c r="Y34" s="3439"/>
      <c r="Z34" s="1577" t="str">
        <f t="shared" si="15"/>
        <v>项目建筑规模</v>
      </c>
      <c r="AA34" s="1573" t="e">
        <f t="shared" si="3"/>
        <v>#N/A</v>
      </c>
      <c r="AB34" s="1573" t="e">
        <f t="shared" si="4"/>
        <v>#N/A</v>
      </c>
      <c r="AC34" s="1573"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39"/>
      <c r="Q35" s="1569" t="str">
        <f t="shared" si="11"/>
        <v>建筑结构</v>
      </c>
      <c r="R35" s="1570" t="s">
        <v>8</v>
      </c>
      <c r="S35" s="1571">
        <f t="shared" si="12"/>
        <v>100</v>
      </c>
      <c r="T35" s="1570" t="s">
        <v>8</v>
      </c>
      <c r="U35" s="1571">
        <f t="shared" si="13"/>
        <v>100</v>
      </c>
      <c r="V35" s="1570" t="s">
        <v>8</v>
      </c>
      <c r="W35" s="1571">
        <f t="shared" si="14"/>
        <v>100</v>
      </c>
      <c r="X35" s="1564"/>
      <c r="Y35" s="3439"/>
      <c r="Z35" s="1572" t="str">
        <f t="shared" si="15"/>
        <v>建筑结构</v>
      </c>
      <c r="AA35" s="1573">
        <f t="shared" si="3"/>
        <v>1</v>
      </c>
      <c r="AB35" s="1573">
        <f t="shared" si="4"/>
        <v>1</v>
      </c>
      <c r="AC35" s="1573">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39"/>
      <c r="Q36" s="1569" t="str">
        <f t="shared" si="11"/>
        <v>公共部分装修</v>
      </c>
      <c r="R36" s="1570" t="s">
        <v>8</v>
      </c>
      <c r="S36" s="1571">
        <f t="shared" si="12"/>
        <v>100</v>
      </c>
      <c r="T36" s="1570" t="s">
        <v>8</v>
      </c>
      <c r="U36" s="1571">
        <f t="shared" si="13"/>
        <v>100</v>
      </c>
      <c r="V36" s="1570" t="s">
        <v>8</v>
      </c>
      <c r="W36" s="1571">
        <f t="shared" si="14"/>
        <v>100</v>
      </c>
      <c r="X36" s="1564"/>
      <c r="Y36" s="3439"/>
      <c r="Z36" s="1572" t="str">
        <f t="shared" si="15"/>
        <v>公共部分装修</v>
      </c>
      <c r="AA36" s="1573">
        <f t="shared" si="3"/>
        <v>1</v>
      </c>
      <c r="AB36" s="1573">
        <f t="shared" si="4"/>
        <v>1</v>
      </c>
      <c r="AC36" s="1573">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8"/>
      <c r="M37" s="2130"/>
      <c r="N37" s="2130"/>
      <c r="O37" s="2130"/>
      <c r="P37" s="3439"/>
      <c r="Q37" s="1569" t="str">
        <f t="shared" si="11"/>
        <v>成新度</v>
      </c>
      <c r="R37" s="1570" t="s">
        <v>8</v>
      </c>
      <c r="S37" s="1571" t="e">
        <f t="shared" si="12"/>
        <v>#N/A</v>
      </c>
      <c r="T37" s="1570" t="s">
        <v>8</v>
      </c>
      <c r="U37" s="1571" t="e">
        <f t="shared" si="13"/>
        <v>#N/A</v>
      </c>
      <c r="V37" s="1570" t="s">
        <v>8</v>
      </c>
      <c r="W37" s="1571" t="e">
        <f t="shared" si="14"/>
        <v>#N/A</v>
      </c>
      <c r="X37" s="1564"/>
      <c r="Y37" s="3439"/>
      <c r="Z37" s="1572" t="str">
        <f t="shared" si="15"/>
        <v>成新度</v>
      </c>
      <c r="AA37" s="1573" t="e">
        <f t="shared" si="3"/>
        <v>#N/A</v>
      </c>
      <c r="AB37" s="1573" t="e">
        <f t="shared" si="4"/>
        <v>#N/A</v>
      </c>
      <c r="AC37" s="1573"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39"/>
      <c r="Q38" s="1149" t="str">
        <f t="shared" si="11"/>
        <v>写字楼等级</v>
      </c>
      <c r="R38" s="1565" t="s">
        <v>8</v>
      </c>
      <c r="S38" s="1566">
        <f t="shared" si="12"/>
        <v>100</v>
      </c>
      <c r="T38" s="1565" t="s">
        <v>8</v>
      </c>
      <c r="U38" s="1566">
        <f t="shared" si="13"/>
        <v>100</v>
      </c>
      <c r="V38" s="1565" t="s">
        <v>8</v>
      </c>
      <c r="W38" s="1566">
        <f t="shared" si="14"/>
        <v>100</v>
      </c>
      <c r="X38" s="1567"/>
      <c r="Y38" s="3439"/>
      <c r="Z38" s="1148" t="str">
        <f t="shared" si="15"/>
        <v>写字楼等级</v>
      </c>
      <c r="AA38" s="1568">
        <f t="shared" si="3"/>
        <v>1</v>
      </c>
      <c r="AB38" s="1568">
        <f t="shared" si="4"/>
        <v>1</v>
      </c>
      <c r="AC38" s="1568">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39" t="s">
        <v>550</v>
      </c>
      <c r="Q39" s="1569" t="str">
        <f t="shared" si="11"/>
        <v>物业管理</v>
      </c>
      <c r="R39" s="1570" t="s">
        <v>8</v>
      </c>
      <c r="S39" s="1571">
        <f t="shared" si="12"/>
        <v>100</v>
      </c>
      <c r="T39" s="1570" t="s">
        <v>8</v>
      </c>
      <c r="U39" s="1571">
        <f t="shared" si="13"/>
        <v>100</v>
      </c>
      <c r="V39" s="1570" t="s">
        <v>8</v>
      </c>
      <c r="W39" s="1571">
        <f t="shared" si="14"/>
        <v>100</v>
      </c>
      <c r="X39" s="1564"/>
      <c r="Y39" s="3439" t="s">
        <v>550</v>
      </c>
      <c r="Z39" s="1572" t="str">
        <f t="shared" si="15"/>
        <v>物业管理</v>
      </c>
      <c r="AA39" s="1573">
        <f t="shared" si="3"/>
        <v>1</v>
      </c>
      <c r="AB39" s="1573">
        <f t="shared" si="4"/>
        <v>1</v>
      </c>
      <c r="AC39" s="1573">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39"/>
      <c r="Q40" s="1569" t="str">
        <f t="shared" si="11"/>
        <v>市政基础设施</v>
      </c>
      <c r="R40" s="1570" t="s">
        <v>8</v>
      </c>
      <c r="S40" s="1571">
        <f t="shared" si="12"/>
        <v>100</v>
      </c>
      <c r="T40" s="1570" t="s">
        <v>8</v>
      </c>
      <c r="U40" s="1571">
        <f t="shared" si="13"/>
        <v>100</v>
      </c>
      <c r="V40" s="1570" t="s">
        <v>8</v>
      </c>
      <c r="W40" s="1571">
        <f t="shared" si="14"/>
        <v>100</v>
      </c>
      <c r="X40" s="1564"/>
      <c r="Y40" s="3439"/>
      <c r="Z40" s="1572" t="str">
        <f t="shared" si="15"/>
        <v>市政基础设施</v>
      </c>
      <c r="AA40" s="1573">
        <f t="shared" si="3"/>
        <v>1</v>
      </c>
      <c r="AB40" s="1573">
        <f t="shared" si="4"/>
        <v>1</v>
      </c>
      <c r="AC40" s="1573">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9"/>
      <c r="Q41" s="1569" t="str">
        <f t="shared" si="11"/>
        <v>层高</v>
      </c>
      <c r="R41" s="1570" t="s">
        <v>8</v>
      </c>
      <c r="S41" s="1571">
        <f t="shared" si="12"/>
        <v>100</v>
      </c>
      <c r="T41" s="1570" t="s">
        <v>8</v>
      </c>
      <c r="U41" s="1571">
        <f t="shared" si="13"/>
        <v>100</v>
      </c>
      <c r="V41" s="1570" t="s">
        <v>8</v>
      </c>
      <c r="W41" s="1571">
        <f t="shared" si="14"/>
        <v>100</v>
      </c>
      <c r="X41" s="1564"/>
      <c r="Y41" s="3439"/>
      <c r="Z41" s="1572" t="str">
        <f t="shared" si="15"/>
        <v>层高</v>
      </c>
      <c r="AA41" s="1573">
        <f t="shared" si="3"/>
        <v>1</v>
      </c>
      <c r="AB41" s="1573">
        <f t="shared" si="4"/>
        <v>1</v>
      </c>
      <c r="AC41" s="1573">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9"/>
      <c r="Q42" s="1602" t="str">
        <f t="shared" si="11"/>
        <v>单套建筑面积</v>
      </c>
      <c r="R42" s="1574" t="s">
        <v>8</v>
      </c>
      <c r="S42" s="1575">
        <f t="shared" si="12"/>
        <v>100</v>
      </c>
      <c r="T42" s="1574" t="s">
        <v>8</v>
      </c>
      <c r="U42" s="1575">
        <f t="shared" si="13"/>
        <v>100</v>
      </c>
      <c r="V42" s="1574" t="s">
        <v>8</v>
      </c>
      <c r="W42" s="1575">
        <f t="shared" si="14"/>
        <v>100</v>
      </c>
      <c r="X42" s="1576"/>
      <c r="Y42" s="3439"/>
      <c r="Z42" s="1577" t="str">
        <f t="shared" si="15"/>
        <v>单套建筑面积</v>
      </c>
      <c r="AA42" s="1573">
        <f t="shared" si="3"/>
        <v>1</v>
      </c>
      <c r="AB42" s="1573">
        <f t="shared" si="4"/>
        <v>1</v>
      </c>
      <c r="AC42" s="1573">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39"/>
      <c r="Q43" s="1569" t="str">
        <f t="shared" si="11"/>
        <v>内部装修</v>
      </c>
      <c r="R43" s="1570" t="s">
        <v>8</v>
      </c>
      <c r="S43" s="1571">
        <f t="shared" si="12"/>
        <v>100</v>
      </c>
      <c r="T43" s="1570" t="s">
        <v>8</v>
      </c>
      <c r="U43" s="1571">
        <f t="shared" si="13"/>
        <v>100</v>
      </c>
      <c r="V43" s="1570" t="s">
        <v>8</v>
      </c>
      <c r="W43" s="1571">
        <f t="shared" si="14"/>
        <v>100</v>
      </c>
      <c r="X43" s="1564"/>
      <c r="Y43" s="3439"/>
      <c r="Z43" s="1572" t="str">
        <f t="shared" si="15"/>
        <v>内部装修</v>
      </c>
      <c r="AA43" s="1573">
        <f t="shared" si="3"/>
        <v>1</v>
      </c>
      <c r="AB43" s="1573">
        <f t="shared" si="4"/>
        <v>1</v>
      </c>
      <c r="AC43" s="1573">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39"/>
      <c r="Q44" s="1569" t="str">
        <f t="shared" si="11"/>
        <v>内部装修维护情况</v>
      </c>
      <c r="R44" s="1570" t="s">
        <v>8</v>
      </c>
      <c r="S44" s="1571">
        <f t="shared" si="12"/>
        <v>100</v>
      </c>
      <c r="T44" s="1570" t="s">
        <v>8</v>
      </c>
      <c r="U44" s="1571">
        <f t="shared" si="13"/>
        <v>100</v>
      </c>
      <c r="V44" s="1570" t="s">
        <v>8</v>
      </c>
      <c r="W44" s="1571">
        <f t="shared" si="14"/>
        <v>100</v>
      </c>
      <c r="X44" s="1564"/>
      <c r="Y44" s="3439"/>
      <c r="Z44" s="1572" t="str">
        <f t="shared" si="15"/>
        <v>内部装修维护情况</v>
      </c>
      <c r="AA44" s="1573">
        <f t="shared" si="3"/>
        <v>1</v>
      </c>
      <c r="AB44" s="1573">
        <f t="shared" si="4"/>
        <v>1</v>
      </c>
      <c r="AC44" s="1573">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9"/>
      <c r="Q45" s="1149">
        <f t="shared" si="11"/>
        <v>111</v>
      </c>
      <c r="R45" s="1565" t="s">
        <v>8</v>
      </c>
      <c r="S45" s="1566">
        <f t="shared" si="12"/>
        <v>100</v>
      </c>
      <c r="T45" s="1565" t="s">
        <v>8</v>
      </c>
      <c r="U45" s="1566">
        <f t="shared" si="13"/>
        <v>100</v>
      </c>
      <c r="V45" s="1565" t="s">
        <v>8</v>
      </c>
      <c r="W45" s="1566">
        <f t="shared" si="14"/>
        <v>100</v>
      </c>
      <c r="X45" s="1567"/>
      <c r="Y45" s="3439"/>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9"/>
      <c r="Q46" s="1569">
        <f t="shared" si="11"/>
        <v>111</v>
      </c>
      <c r="R46" s="1570" t="s">
        <v>8</v>
      </c>
      <c r="S46" s="1571">
        <f t="shared" si="12"/>
        <v>100</v>
      </c>
      <c r="T46" s="1570" t="s">
        <v>8</v>
      </c>
      <c r="U46" s="1571">
        <f t="shared" si="13"/>
        <v>100</v>
      </c>
      <c r="V46" s="1570" t="s">
        <v>8</v>
      </c>
      <c r="W46" s="1571">
        <f t="shared" si="14"/>
        <v>100</v>
      </c>
      <c r="X46" s="1564"/>
      <c r="Y46" s="3439"/>
      <c r="Z46" s="1572">
        <f t="shared" si="15"/>
        <v>111</v>
      </c>
      <c r="AA46" s="1573">
        <f t="shared" si="3"/>
        <v>1</v>
      </c>
      <c r="AB46" s="1573">
        <f t="shared" si="4"/>
        <v>1</v>
      </c>
      <c r="AC46" s="1573">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518"/>
      <c r="Q47" s="1569">
        <f t="shared" si="11"/>
        <v>111</v>
      </c>
      <c r="R47" s="1570" t="s">
        <v>8</v>
      </c>
      <c r="S47" s="1571">
        <f t="shared" si="12"/>
        <v>100</v>
      </c>
      <c r="T47" s="1570" t="s">
        <v>8</v>
      </c>
      <c r="U47" s="1571">
        <f t="shared" si="13"/>
        <v>100</v>
      </c>
      <c r="V47" s="1570" t="s">
        <v>8</v>
      </c>
      <c r="W47" s="1571">
        <f t="shared" si="14"/>
        <v>100</v>
      </c>
      <c r="X47" s="1564"/>
      <c r="Y47" s="3518"/>
      <c r="Z47" s="1572">
        <f t="shared" si="15"/>
        <v>111</v>
      </c>
      <c r="AA47" s="1573">
        <f t="shared" si="3"/>
        <v>1</v>
      </c>
      <c r="AB47" s="1573">
        <f t="shared" si="4"/>
        <v>1</v>
      </c>
      <c r="AC47" s="1573">
        <f t="shared" si="5"/>
        <v>1</v>
      </c>
    </row>
    <row r="48" spans="1:29" ht="15">
      <c r="A48" s="606" t="s">
        <v>736</v>
      </c>
      <c r="B48" s="885"/>
      <c r="C48" s="2623" t="s">
        <v>1</v>
      </c>
      <c r="D48" s="2624"/>
      <c r="E48" s="2625"/>
      <c r="F48" s="2626"/>
      <c r="G48" s="2627"/>
      <c r="H48" s="2628"/>
      <c r="I48" s="2625"/>
      <c r="J48" s="2628"/>
      <c r="K48" s="1608"/>
      <c r="L48" s="2140"/>
      <c r="M48" s="2130"/>
      <c r="N48" s="2130"/>
      <c r="O48" s="2130"/>
      <c r="P48" s="3399" t="str">
        <f>A48</f>
        <v>成交单价（元/平方米）</v>
      </c>
      <c r="Q48" s="3401"/>
      <c r="R48" s="3517">
        <f>E48</f>
        <v>0</v>
      </c>
      <c r="S48" s="3517"/>
      <c r="T48" s="3517">
        <f>G48</f>
        <v>0</v>
      </c>
      <c r="U48" s="3517"/>
      <c r="V48" s="3517">
        <f>I48</f>
        <v>0</v>
      </c>
      <c r="W48" s="3517"/>
      <c r="X48" s="1556"/>
      <c r="Y48" s="1578"/>
      <c r="Z48" s="1556"/>
      <c r="AA48" s="1556"/>
      <c r="AB48" s="1556"/>
      <c r="AC48" s="1556"/>
    </row>
    <row r="49" spans="1:29" ht="15.75" thickBot="1">
      <c r="A49" s="614" t="s">
        <v>2760</v>
      </c>
      <c r="B49" s="886"/>
      <c r="C49" s="2629" t="e">
        <f>R50</f>
        <v>#DIV/0!</v>
      </c>
      <c r="D49" s="2630"/>
      <c r="E49" s="2631" t="e">
        <f>R49</f>
        <v>#DIV/0!</v>
      </c>
      <c r="F49" s="2631"/>
      <c r="G49" s="2629" t="e">
        <f>T49</f>
        <v>#DIV/0!</v>
      </c>
      <c r="H49" s="2630"/>
      <c r="I49" s="2631" t="e">
        <f>V49</f>
        <v>#DIV/0!</v>
      </c>
      <c r="J49" s="2630"/>
      <c r="K49" s="1609"/>
      <c r="L49" s="2140"/>
      <c r="M49" s="2130"/>
      <c r="N49" s="2130"/>
      <c r="O49" s="2130"/>
      <c r="P49" s="3399" t="str">
        <f>A49</f>
        <v>比较价格（元/平方米）</v>
      </c>
      <c r="Q49" s="3401"/>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6"/>
      <c r="Y49" s="1556"/>
      <c r="Z49" s="1556"/>
      <c r="AA49" s="1556"/>
      <c r="AB49" s="1556"/>
      <c r="AC49" s="1556"/>
    </row>
    <row r="50" spans="1:29" ht="15.75" thickBot="1">
      <c r="A50" s="620" t="s">
        <v>2924</v>
      </c>
      <c r="B50" s="621"/>
      <c r="C50" s="2632" t="e">
        <f>R50</f>
        <v>#DIV/0!</v>
      </c>
      <c r="D50" s="2632"/>
      <c r="E50" s="2632"/>
      <c r="F50" s="2632"/>
      <c r="G50" s="2632"/>
      <c r="H50" s="2632"/>
      <c r="I50" s="2632"/>
      <c r="J50" s="2632"/>
      <c r="K50" s="1610"/>
      <c r="L50" s="2140"/>
      <c r="M50" s="2130"/>
      <c r="N50" s="2130"/>
      <c r="O50" s="2130"/>
      <c r="P50" s="3527" t="str">
        <f>A50</f>
        <v>估价对象XX用房的比较价格（楼面单价，元/平方米）</v>
      </c>
      <c r="Q50" s="3399"/>
      <c r="R50" s="3516" t="e">
        <f>IF(F1="售价",ROUND(AVERAGE(R49:V49),0),ROUND(AVERAGE(R49:V49),1))</f>
        <v>#DIV/0!</v>
      </c>
      <c r="S50" s="3516"/>
      <c r="T50" s="3516"/>
      <c r="U50" s="3516"/>
      <c r="V50" s="3516"/>
      <c r="W50" s="3516"/>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529</v>
      </c>
      <c r="B59" s="645"/>
      <c r="C59" s="2798" t="str">
        <f>YEAR(C7)&amp;"-"&amp;MONTH(C7)</f>
        <v>2018-8</v>
      </c>
      <c r="D59" s="2800">
        <f>EDATE(C59,-1)</f>
        <v>43282</v>
      </c>
      <c r="E59" s="2800">
        <f t="shared" ref="E59:O59" si="16">EDATE(D59,-1)</f>
        <v>43252</v>
      </c>
      <c r="F59" s="2800">
        <f t="shared" si="16"/>
        <v>43221</v>
      </c>
      <c r="G59" s="2800">
        <f t="shared" si="16"/>
        <v>43191</v>
      </c>
      <c r="H59" s="2800">
        <f t="shared" si="16"/>
        <v>43160</v>
      </c>
      <c r="I59" s="2800">
        <f t="shared" si="16"/>
        <v>43132</v>
      </c>
      <c r="J59" s="2800">
        <f t="shared" si="16"/>
        <v>43101</v>
      </c>
      <c r="K59" s="2800">
        <f t="shared" si="16"/>
        <v>43070</v>
      </c>
      <c r="L59" s="2800">
        <f t="shared" si="16"/>
        <v>43040</v>
      </c>
      <c r="M59" s="2800">
        <f t="shared" si="16"/>
        <v>43009</v>
      </c>
      <c r="N59" s="2800">
        <f t="shared" si="16"/>
        <v>42979</v>
      </c>
      <c r="O59" s="2800">
        <f t="shared" si="16"/>
        <v>42948</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575</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531</v>
      </c>
      <c r="B62" s="647"/>
      <c r="C62" s="659" t="s">
        <v>576</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7">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577</v>
      </c>
      <c r="B64" s="664" t="s">
        <v>534</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539</v>
      </c>
      <c r="B77" s="664" t="s">
        <v>585</v>
      </c>
      <c r="C77" s="702" t="s">
        <v>579</v>
      </c>
      <c r="D77" s="702" t="s">
        <v>580</v>
      </c>
      <c r="E77" s="702" t="s">
        <v>581</v>
      </c>
      <c r="F77" s="702" t="s">
        <v>582</v>
      </c>
      <c r="G77" s="702" t="s">
        <v>583</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586</v>
      </c>
      <c r="C79" s="707" t="s">
        <v>579</v>
      </c>
      <c r="D79" s="707" t="s">
        <v>580</v>
      </c>
      <c r="E79" s="707" t="s">
        <v>581</v>
      </c>
      <c r="F79" s="707" t="s">
        <v>582</v>
      </c>
      <c r="G79" s="707" t="s">
        <v>583</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579</v>
      </c>
      <c r="D81" s="707" t="s">
        <v>580</v>
      </c>
      <c r="E81" s="707" t="s">
        <v>581</v>
      </c>
      <c r="F81" s="707" t="s">
        <v>582</v>
      </c>
      <c r="G81" s="707" t="s">
        <v>583</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93" t="s">
        <v>2558</v>
      </c>
      <c r="C83" s="2594" t="s">
        <v>2559</v>
      </c>
      <c r="D83" s="2594" t="s">
        <v>2560</v>
      </c>
      <c r="E83" s="2594" t="s">
        <v>2561</v>
      </c>
      <c r="F83" s="2594" t="s">
        <v>2562</v>
      </c>
      <c r="G83" s="2594" t="s">
        <v>2563</v>
      </c>
      <c r="H83" s="673"/>
      <c r="I83" s="673"/>
      <c r="J83" s="673"/>
      <c r="K83" s="673"/>
      <c r="L83" s="673"/>
      <c r="M83" s="2597"/>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784</v>
      </c>
      <c r="C85" s="707" t="s">
        <v>579</v>
      </c>
      <c r="D85" s="707" t="s">
        <v>580</v>
      </c>
      <c r="E85" s="707" t="s">
        <v>581</v>
      </c>
      <c r="F85" s="707" t="s">
        <v>582</v>
      </c>
      <c r="G85" s="707" t="s">
        <v>583</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785</v>
      </c>
      <c r="C87" s="687"/>
      <c r="D87" s="687"/>
      <c r="E87" s="687"/>
      <c r="F87" s="687"/>
      <c r="G87" s="687"/>
      <c r="H87" s="687"/>
      <c r="I87" s="687"/>
      <c r="J87" s="687"/>
      <c r="K87" s="687"/>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0"/>
      <c r="G89" s="687"/>
      <c r="H89" s="687"/>
      <c r="I89" s="687"/>
      <c r="J89" s="687"/>
      <c r="K89" s="687"/>
      <c r="L89" s="687"/>
      <c r="M89" s="889"/>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8"/>
      <c r="M93" s="889"/>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1"/>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551</v>
      </c>
      <c r="B101" s="664" t="s">
        <v>747</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749</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751</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786</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753</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5" t="s">
        <v>787</v>
      </c>
      <c r="C119" s="717"/>
      <c r="D119" s="717"/>
      <c r="E119" s="717"/>
      <c r="F119" s="717"/>
      <c r="G119" s="717"/>
      <c r="H119" s="717"/>
      <c r="I119" s="717"/>
      <c r="J119" s="717"/>
      <c r="K119" s="717"/>
      <c r="L119" s="916"/>
      <c r="M119" s="917"/>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775</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755</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1"/>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3"/>
      <c r="G1" s="1598" t="s">
        <v>721</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467</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519</v>
      </c>
      <c r="B3" s="509" t="e">
        <f>C43</f>
        <v>#DIV/0!</v>
      </c>
      <c r="C3" s="851" t="s">
        <v>722</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521</v>
      </c>
      <c r="B4" s="512"/>
      <c r="C4" s="3407" t="s">
        <v>522</v>
      </c>
      <c r="D4" s="3408"/>
      <c r="E4" s="3446" t="s">
        <v>523</v>
      </c>
      <c r="F4" s="3447"/>
      <c r="G4" s="3407" t="s">
        <v>524</v>
      </c>
      <c r="H4" s="3408"/>
      <c r="I4" s="3407" t="s">
        <v>525</v>
      </c>
      <c r="J4" s="3408"/>
      <c r="K4" s="513" t="s">
        <v>526</v>
      </c>
      <c r="L4" s="2129"/>
      <c r="M4" s="2130"/>
      <c r="N4" s="2130"/>
      <c r="O4" s="2130"/>
      <c r="P4" s="3409" t="s">
        <v>527</v>
      </c>
      <c r="Q4" s="3410"/>
      <c r="R4" s="3415" t="s">
        <v>523</v>
      </c>
      <c r="S4" s="3416"/>
      <c r="T4" s="3415" t="s">
        <v>524</v>
      </c>
      <c r="U4" s="3416"/>
      <c r="V4" s="3402" t="s">
        <v>525</v>
      </c>
      <c r="W4" s="3402"/>
      <c r="X4" s="1564"/>
      <c r="Y4" s="3415" t="s">
        <v>527</v>
      </c>
      <c r="Z4" s="3416"/>
      <c r="AA4" s="3404" t="s">
        <v>523</v>
      </c>
      <c r="AB4" s="3405" t="s">
        <v>524</v>
      </c>
      <c r="AC4" s="3404" t="s">
        <v>525</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3" t="s">
        <v>530</v>
      </c>
      <c r="Q7" s="3435"/>
      <c r="R7" s="1565" t="s">
        <v>8</v>
      </c>
      <c r="S7" s="1566">
        <f t="shared" ref="S7:S15" si="0">F7</f>
        <v>0</v>
      </c>
      <c r="T7" s="1565" t="s">
        <v>8</v>
      </c>
      <c r="U7" s="1566">
        <f t="shared" ref="U7:U15" si="1">H7</f>
        <v>0</v>
      </c>
      <c r="V7" s="1565" t="s">
        <v>8</v>
      </c>
      <c r="W7" s="1566">
        <f t="shared" ref="W7:W15"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40" si="3">D8/F8</f>
        <v>#DIV/0!</v>
      </c>
      <c r="AB8" s="1568" t="e">
        <f t="shared" ref="AB8:AB40" si="4">D8/H8</f>
        <v>#DIV/0!</v>
      </c>
      <c r="AC8" s="1568" t="e">
        <f t="shared" ref="AC8:AC40" si="5">D8/J8</f>
        <v>#DIV/0!</v>
      </c>
    </row>
    <row r="9" spans="1:29" s="1218" customFormat="1" ht="15">
      <c r="A9" s="2910"/>
      <c r="B9" s="2917"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401" t="s">
        <v>535</v>
      </c>
      <c r="Q9" s="1149" t="str">
        <f t="shared" ref="Q9:Q15" si="6">B9</f>
        <v>用途</v>
      </c>
      <c r="R9" s="1565" t="s">
        <v>8</v>
      </c>
      <c r="S9" s="1566">
        <f t="shared" si="0"/>
        <v>100</v>
      </c>
      <c r="T9" s="1565" t="s">
        <v>8</v>
      </c>
      <c r="U9" s="1566">
        <f t="shared" si="1"/>
        <v>100</v>
      </c>
      <c r="V9" s="1565" t="s">
        <v>8</v>
      </c>
      <c r="W9" s="1566">
        <f t="shared" si="2"/>
        <v>100</v>
      </c>
      <c r="X9" s="1567"/>
      <c r="Y9" s="3343" t="s">
        <v>536</v>
      </c>
      <c r="Z9" s="1148" t="str">
        <f t="shared" ref="Z9:Z15" si="7">Q9</f>
        <v>用途</v>
      </c>
      <c r="AA9" s="1568">
        <f t="shared" si="3"/>
        <v>1</v>
      </c>
      <c r="AB9" s="1568">
        <f t="shared" si="4"/>
        <v>1</v>
      </c>
      <c r="AC9" s="1568">
        <f t="shared" si="5"/>
        <v>1</v>
      </c>
    </row>
    <row r="10" spans="1:29" s="1336" customFormat="1" ht="27">
      <c r="A10" s="2911"/>
      <c r="B10" s="2916"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2"/>
      <c r="B11" s="2916"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401"/>
      <c r="Q11" s="1149" t="str">
        <f t="shared" si="6"/>
        <v>容积率</v>
      </c>
      <c r="R11" s="1565" t="s">
        <v>8</v>
      </c>
      <c r="S11" s="1566" t="e">
        <f t="shared" si="0"/>
        <v>#N/A</v>
      </c>
      <c r="T11" s="1565" t="s">
        <v>8</v>
      </c>
      <c r="U11" s="1566" t="e">
        <f t="shared" si="1"/>
        <v>#N/A</v>
      </c>
      <c r="V11" s="1565" t="s">
        <v>8</v>
      </c>
      <c r="W11" s="1566" t="e">
        <f t="shared" si="2"/>
        <v>#N/A</v>
      </c>
      <c r="X11" s="1567"/>
      <c r="Y11" s="3343"/>
      <c r="Z11" s="1148" t="str">
        <f t="shared" si="7"/>
        <v>容积率</v>
      </c>
      <c r="AA11" s="1568" t="e">
        <f t="shared" si="3"/>
        <v>#N/A</v>
      </c>
      <c r="AB11" s="1568" t="e">
        <f t="shared" si="4"/>
        <v>#N/A</v>
      </c>
      <c r="AC11" s="1568" t="e">
        <f t="shared" si="5"/>
        <v>#N/A</v>
      </c>
    </row>
    <row r="12" spans="1:29" s="1218" customFormat="1" ht="15">
      <c r="A12" s="2913"/>
      <c r="B12" s="2919">
        <v>111</v>
      </c>
      <c r="C12" s="527"/>
      <c r="D12" s="537">
        <v>100</v>
      </c>
      <c r="E12" s="538"/>
      <c r="F12" s="254">
        <f>SUMIF(64:64,E12,65:65)-SUMIF(64:64,C12,65:65)+100</f>
        <v>100</v>
      </c>
      <c r="G12" s="918"/>
      <c r="H12" s="254">
        <f>SUMIF(64:64,G12,65:65)-SUMIF(64:64,C12,65:65)+100</f>
        <v>100</v>
      </c>
      <c r="I12" s="878"/>
      <c r="J12" s="254">
        <f>SUMIF(64:64,I12,65:65)-SUMIF(64:64,C12,65:65)+100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
      <c r="A13" s="2913"/>
      <c r="B13" s="2919">
        <v>111</v>
      </c>
      <c r="C13" s="538"/>
      <c r="D13" s="539">
        <v>100</v>
      </c>
      <c r="E13" s="538"/>
      <c r="F13" s="254">
        <f>SUMIF(66:66,E13,67:67)-SUMIF(66:66,C13,67:67)+100</f>
        <v>100</v>
      </c>
      <c r="G13" s="918"/>
      <c r="H13" s="539">
        <f>SUMIF(66:66,G13,67:67)-SUMIF(66:66,C13,67:67)+100</f>
        <v>100</v>
      </c>
      <c r="I13" s="878"/>
      <c r="J13" s="539">
        <f>SUMIF(66:66,I13,67:67)-SUMIF(66:66,C13,67:67)+100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5.75" thickBot="1">
      <c r="A14" s="2914"/>
      <c r="B14" s="2920">
        <v>111</v>
      </c>
      <c r="C14" s="544"/>
      <c r="D14" s="545">
        <v>100</v>
      </c>
      <c r="E14" s="544"/>
      <c r="F14" s="545">
        <f>SUMIF(68:68,E14,69:69)-SUMIF(68:68,C14,69:69)+100</f>
        <v>100</v>
      </c>
      <c r="G14" s="918"/>
      <c r="H14" s="545">
        <f>SUMIF(68:68,G14,69:69)-SUMIF(68:68,C14,69:69)+100</f>
        <v>100</v>
      </c>
      <c r="I14" s="878"/>
      <c r="J14" s="545">
        <f>SUMIF(68:68,I14,69:69)-SUMIF(68:68,C14,69:69)+100</f>
        <v>100</v>
      </c>
      <c r="K14" s="580"/>
      <c r="L14" s="2138"/>
      <c r="M14" s="2130"/>
      <c r="N14" s="2130"/>
      <c r="O14" s="2137"/>
      <c r="P14" s="3401"/>
      <c r="Q14" s="1149">
        <f t="shared" si="6"/>
        <v>111</v>
      </c>
      <c r="R14" s="1565" t="s">
        <v>8</v>
      </c>
      <c r="S14" s="1566">
        <f t="shared" si="0"/>
        <v>100</v>
      </c>
      <c r="T14" s="1565" t="s">
        <v>8</v>
      </c>
      <c r="U14" s="1566">
        <f t="shared" si="1"/>
        <v>100</v>
      </c>
      <c r="V14" s="1565" t="s">
        <v>8</v>
      </c>
      <c r="W14" s="1566">
        <f t="shared" si="2"/>
        <v>100</v>
      </c>
      <c r="X14" s="1567"/>
      <c r="Y14" s="3343"/>
      <c r="Z14" s="1148">
        <f t="shared" si="7"/>
        <v>111</v>
      </c>
      <c r="AA14" s="1568">
        <f t="shared" si="3"/>
        <v>1</v>
      </c>
      <c r="AB14" s="1568">
        <f t="shared" si="4"/>
        <v>1</v>
      </c>
      <c r="AC14" s="1568">
        <f t="shared" si="5"/>
        <v>1</v>
      </c>
    </row>
    <row r="15" spans="1:29" ht="15">
      <c r="A15" s="2906" t="s">
        <v>2754</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38"/>
      <c r="M15" s="2130"/>
      <c r="N15" s="2130"/>
      <c r="O15" s="2137"/>
      <c r="P15" s="3436" t="s">
        <v>540</v>
      </c>
      <c r="Q15" s="1569" t="str">
        <f t="shared" si="6"/>
        <v>产业集聚程度</v>
      </c>
      <c r="R15" s="1570" t="s">
        <v>8</v>
      </c>
      <c r="S15" s="1571">
        <f t="shared" si="0"/>
        <v>100</v>
      </c>
      <c r="T15" s="1570" t="s">
        <v>8</v>
      </c>
      <c r="U15" s="1571">
        <f t="shared" si="1"/>
        <v>100</v>
      </c>
      <c r="V15" s="1570" t="s">
        <v>8</v>
      </c>
      <c r="W15" s="1571">
        <f t="shared" si="2"/>
        <v>100</v>
      </c>
      <c r="X15" s="1564"/>
      <c r="Y15" s="3436" t="s">
        <v>540</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7"/>
      <c r="L16" s="2138"/>
      <c r="M16" s="2130"/>
      <c r="N16" s="2130"/>
      <c r="O16" s="2137"/>
      <c r="P16" s="3437"/>
      <c r="Q16" s="1569"/>
      <c r="R16" s="1570"/>
      <c r="S16" s="1571"/>
      <c r="T16" s="1570"/>
      <c r="U16" s="1571"/>
      <c r="V16" s="1570"/>
      <c r="W16" s="1571"/>
      <c r="X16" s="1564"/>
      <c r="Y16" s="3437"/>
      <c r="Z16" s="1572"/>
      <c r="AA16" s="1573">
        <v>1</v>
      </c>
      <c r="AB16" s="1573">
        <v>1</v>
      </c>
      <c r="AC16" s="1573">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38"/>
      <c r="M17" s="2130"/>
      <c r="N17" s="2130"/>
      <c r="O17" s="2137"/>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7"/>
      <c r="L18" s="2138"/>
      <c r="M18" s="2130"/>
      <c r="N18" s="2130"/>
      <c r="O18" s="2137"/>
      <c r="P18" s="3437"/>
      <c r="Q18" s="1569"/>
      <c r="R18" s="1570"/>
      <c r="S18" s="1571"/>
      <c r="T18" s="1570"/>
      <c r="U18" s="1571"/>
      <c r="V18" s="1570"/>
      <c r="W18" s="1571"/>
      <c r="X18" s="1564"/>
      <c r="Y18" s="3437"/>
      <c r="Z18" s="1572"/>
      <c r="AA18" s="1573">
        <v>1</v>
      </c>
      <c r="AB18" s="1573">
        <v>1</v>
      </c>
      <c r="AC18" s="1573">
        <v>1</v>
      </c>
    </row>
    <row r="19" spans="1:29" ht="15">
      <c r="A19" s="531"/>
      <c r="B19" s="2599" t="s">
        <v>2546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38"/>
      <c r="M19" s="2130"/>
      <c r="N19" s="2130"/>
      <c r="O19" s="2137"/>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7"/>
      <c r="L20" s="2138"/>
      <c r="M20" s="2130"/>
      <c r="N20" s="2130"/>
      <c r="O20" s="2137"/>
      <c r="P20" s="3437"/>
      <c r="Q20" s="1569"/>
      <c r="R20" s="1570"/>
      <c r="S20" s="1571"/>
      <c r="T20" s="1570"/>
      <c r="U20" s="1571"/>
      <c r="V20" s="1570"/>
      <c r="W20" s="1571"/>
      <c r="X20" s="1564"/>
      <c r="Y20" s="3437"/>
      <c r="Z20" s="1572"/>
      <c r="AA20" s="1573">
        <v>1</v>
      </c>
      <c r="AB20" s="1573">
        <v>1</v>
      </c>
      <c r="AC20" s="1573">
        <v>1</v>
      </c>
    </row>
    <row r="21" spans="1:29" ht="15">
      <c r="A21" s="531"/>
      <c r="B21" s="2587" t="s">
        <v>2558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38"/>
      <c r="M21" s="2130"/>
      <c r="N21" s="2130"/>
      <c r="O21" s="2137"/>
      <c r="P21" s="3437"/>
      <c r="Q21" s="2575" t="str">
        <f>B21</f>
        <v>基础设施水平</v>
      </c>
      <c r="R21" s="1570" t="s">
        <v>8</v>
      </c>
      <c r="S21" s="1571">
        <f>F21</f>
        <v>100</v>
      </c>
      <c r="T21" s="1570" t="s">
        <v>8</v>
      </c>
      <c r="U21" s="1571">
        <f>H21</f>
        <v>100</v>
      </c>
      <c r="V21" s="1570" t="s">
        <v>8</v>
      </c>
      <c r="W21" s="1571">
        <f>J21</f>
        <v>100</v>
      </c>
      <c r="X21" s="2577"/>
      <c r="Y21" s="3437"/>
      <c r="Z21" s="257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98"/>
      <c r="L22" s="2138"/>
      <c r="M22" s="2130"/>
      <c r="N22" s="2130"/>
      <c r="O22" s="2137"/>
      <c r="P22" s="3437"/>
      <c r="Q22" s="2575"/>
      <c r="R22" s="1570"/>
      <c r="S22" s="1571"/>
      <c r="T22" s="1570"/>
      <c r="U22" s="1571"/>
      <c r="V22" s="1570"/>
      <c r="W22" s="1571"/>
      <c r="X22" s="2577"/>
      <c r="Y22" s="3437"/>
      <c r="Z22" s="2576"/>
      <c r="AA22" s="1573">
        <v>1</v>
      </c>
      <c r="AB22" s="1573">
        <v>1</v>
      </c>
      <c r="AC22" s="1573">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38"/>
      <c r="M23" s="2130"/>
      <c r="N23" s="2130"/>
      <c r="O23" s="2137"/>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31"/>
      <c r="B24" s="920"/>
      <c r="C24" s="575"/>
      <c r="D24" s="554"/>
      <c r="E24" s="555"/>
      <c r="F24" s="556"/>
      <c r="G24" s="557"/>
      <c r="H24" s="554"/>
      <c r="I24" s="555"/>
      <c r="J24" s="554"/>
      <c r="K24" s="897"/>
      <c r="L24" s="2138"/>
      <c r="M24" s="2130"/>
      <c r="N24" s="2130"/>
      <c r="O24" s="2137"/>
      <c r="P24" s="3437"/>
      <c r="Q24" s="1569"/>
      <c r="R24" s="1570"/>
      <c r="S24" s="1571"/>
      <c r="T24" s="1570"/>
      <c r="U24" s="1571"/>
      <c r="V24" s="1570"/>
      <c r="W24" s="1571"/>
      <c r="X24" s="1564"/>
      <c r="Y24" s="343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7"/>
      <c r="Q25" s="1569">
        <f>B25</f>
        <v>111</v>
      </c>
      <c r="R25" s="1570" t="s">
        <v>8</v>
      </c>
      <c r="S25" s="1571">
        <f>F25</f>
        <v>100</v>
      </c>
      <c r="T25" s="1570" t="s">
        <v>8</v>
      </c>
      <c r="U25" s="1571">
        <f>H25</f>
        <v>100</v>
      </c>
      <c r="V25" s="1570" t="s">
        <v>8</v>
      </c>
      <c r="W25" s="1571">
        <f>J25</f>
        <v>100</v>
      </c>
      <c r="X25" s="1564"/>
      <c r="Y25" s="343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7"/>
      <c r="Q26" s="1569">
        <f t="shared" ref="Q26:Q40" si="11">B26</f>
        <v>111</v>
      </c>
      <c r="R26" s="1570" t="s">
        <v>8</v>
      </c>
      <c r="S26" s="1571">
        <f>F26</f>
        <v>100</v>
      </c>
      <c r="T26" s="1570" t="s">
        <v>8</v>
      </c>
      <c r="U26" s="1571">
        <f>H26</f>
        <v>100</v>
      </c>
      <c r="V26" s="1570" t="s">
        <v>8</v>
      </c>
      <c r="W26" s="1571">
        <f>J26</f>
        <v>100</v>
      </c>
      <c r="X26" s="1564"/>
      <c r="Y26" s="343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7"/>
      <c r="Q27" s="1149">
        <f t="shared" si="11"/>
        <v>111</v>
      </c>
      <c r="R27" s="1565" t="s">
        <v>8</v>
      </c>
      <c r="S27" s="1566">
        <f>F27</f>
        <v>100</v>
      </c>
      <c r="T27" s="1565" t="s">
        <v>8</v>
      </c>
      <c r="U27" s="1566">
        <f>H27</f>
        <v>100</v>
      </c>
      <c r="V27" s="1565" t="s">
        <v>8</v>
      </c>
      <c r="W27" s="1566">
        <f>J27</f>
        <v>100</v>
      </c>
      <c r="X27" s="1567"/>
      <c r="Y27" s="3437"/>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8"/>
      <c r="M28" s="2130"/>
      <c r="N28" s="2130"/>
      <c r="O28" s="2137"/>
      <c r="P28" s="3437"/>
      <c r="Q28" s="1569">
        <f t="shared" si="11"/>
        <v>111</v>
      </c>
      <c r="R28" s="1570" t="s">
        <v>8</v>
      </c>
      <c r="S28" s="1571">
        <f t="shared" ref="S28:S40" si="12">F28</f>
        <v>100</v>
      </c>
      <c r="T28" s="1570" t="s">
        <v>8</v>
      </c>
      <c r="U28" s="1571">
        <f t="shared" ref="U28:U40" si="13">H28</f>
        <v>100</v>
      </c>
      <c r="V28" s="1570" t="s">
        <v>8</v>
      </c>
      <c r="W28" s="1571">
        <f t="shared" ref="W28:W40" si="14">J28</f>
        <v>100</v>
      </c>
      <c r="X28" s="1564"/>
      <c r="Y28" s="3437"/>
      <c r="Z28" s="1572">
        <f t="shared" ref="Z28:Z40" si="15">Q28</f>
        <v>111</v>
      </c>
      <c r="AA28" s="1573">
        <f t="shared" si="3"/>
        <v>1</v>
      </c>
      <c r="AB28" s="1573">
        <f t="shared" si="4"/>
        <v>1</v>
      </c>
      <c r="AC28" s="1573">
        <f t="shared" si="5"/>
        <v>1</v>
      </c>
    </row>
    <row r="29" spans="1:29" ht="15">
      <c r="A29" s="2903"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38"/>
      <c r="M29" s="2130"/>
      <c r="N29" s="2130"/>
      <c r="O29" s="2137"/>
      <c r="P29" s="3438" t="s">
        <v>550</v>
      </c>
      <c r="Q29" s="1569" t="str">
        <f t="shared" si="11"/>
        <v>建筑类型</v>
      </c>
      <c r="R29" s="1570" t="s">
        <v>8</v>
      </c>
      <c r="S29" s="1571">
        <f t="shared" si="12"/>
        <v>100</v>
      </c>
      <c r="T29" s="1570" t="s">
        <v>8</v>
      </c>
      <c r="U29" s="1571">
        <f t="shared" si="13"/>
        <v>100</v>
      </c>
      <c r="V29" s="1570" t="s">
        <v>8</v>
      </c>
      <c r="W29" s="1571">
        <f t="shared" si="14"/>
        <v>100</v>
      </c>
      <c r="X29" s="1564"/>
      <c r="Y29" s="3439" t="s">
        <v>550</v>
      </c>
      <c r="Z29" s="1572" t="str">
        <f t="shared" si="15"/>
        <v>建筑类型</v>
      </c>
      <c r="AA29" s="1573">
        <f t="shared" si="3"/>
        <v>1</v>
      </c>
      <c r="AB29" s="1573">
        <f t="shared" si="4"/>
        <v>1</v>
      </c>
      <c r="AC29" s="1573">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9"/>
      <c r="Q30" s="1602" t="str">
        <f t="shared" si="11"/>
        <v>项目建筑规模</v>
      </c>
      <c r="R30" s="1574" t="s">
        <v>8</v>
      </c>
      <c r="S30" s="1575" t="e">
        <f t="shared" si="12"/>
        <v>#N/A</v>
      </c>
      <c r="T30" s="1574" t="s">
        <v>8</v>
      </c>
      <c r="U30" s="1575" t="e">
        <f t="shared" si="13"/>
        <v>#N/A</v>
      </c>
      <c r="V30" s="1574" t="s">
        <v>8</v>
      </c>
      <c r="W30" s="1575" t="e">
        <f t="shared" si="14"/>
        <v>#N/A</v>
      </c>
      <c r="X30" s="1576"/>
      <c r="Y30" s="3439"/>
      <c r="Z30" s="1577" t="str">
        <f t="shared" si="15"/>
        <v>项目建筑规模</v>
      </c>
      <c r="AA30" s="1573" t="e">
        <f t="shared" si="3"/>
        <v>#N/A</v>
      </c>
      <c r="AB30" s="1573" t="e">
        <f t="shared" si="4"/>
        <v>#N/A</v>
      </c>
      <c r="AC30" s="1573"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9"/>
      <c r="Q31" s="1569" t="str">
        <f t="shared" si="11"/>
        <v>建筑结构</v>
      </c>
      <c r="R31" s="1570" t="s">
        <v>8</v>
      </c>
      <c r="S31" s="1571">
        <f t="shared" si="12"/>
        <v>100</v>
      </c>
      <c r="T31" s="1570" t="s">
        <v>8</v>
      </c>
      <c r="U31" s="1571">
        <f t="shared" si="13"/>
        <v>100</v>
      </c>
      <c r="V31" s="1570" t="s">
        <v>8</v>
      </c>
      <c r="W31" s="1571">
        <f t="shared" si="14"/>
        <v>100</v>
      </c>
      <c r="X31" s="1564"/>
      <c r="Y31" s="3439"/>
      <c r="Z31" s="1572" t="str">
        <f t="shared" si="15"/>
        <v>建筑结构</v>
      </c>
      <c r="AA31" s="1573">
        <f t="shared" si="3"/>
        <v>1</v>
      </c>
      <c r="AB31" s="1573">
        <f t="shared" si="4"/>
        <v>1</v>
      </c>
      <c r="AC31" s="1573">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9"/>
      <c r="Q32" s="1569" t="str">
        <f t="shared" si="11"/>
        <v>公共部分装修</v>
      </c>
      <c r="R32" s="1570" t="s">
        <v>8</v>
      </c>
      <c r="S32" s="1571">
        <f t="shared" si="12"/>
        <v>100</v>
      </c>
      <c r="T32" s="1570" t="s">
        <v>8</v>
      </c>
      <c r="U32" s="1571">
        <f t="shared" si="13"/>
        <v>100</v>
      </c>
      <c r="V32" s="1570" t="s">
        <v>8</v>
      </c>
      <c r="W32" s="1571">
        <f t="shared" si="14"/>
        <v>100</v>
      </c>
      <c r="X32" s="1564"/>
      <c r="Y32" s="3439"/>
      <c r="Z32" s="1572" t="str">
        <f t="shared" si="15"/>
        <v>公共部分装修</v>
      </c>
      <c r="AA32" s="1573">
        <f t="shared" si="3"/>
        <v>1</v>
      </c>
      <c r="AB32" s="1573">
        <f t="shared" si="4"/>
        <v>1</v>
      </c>
      <c r="AC32" s="1573">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8"/>
      <c r="M33" s="2130"/>
      <c r="N33" s="2130"/>
      <c r="O33" s="2137"/>
      <c r="P33" s="3439"/>
      <c r="Q33" s="1569" t="str">
        <f t="shared" si="11"/>
        <v>成新度</v>
      </c>
      <c r="R33" s="1570" t="s">
        <v>8</v>
      </c>
      <c r="S33" s="1571" t="e">
        <f t="shared" si="12"/>
        <v>#N/A</v>
      </c>
      <c r="T33" s="1570" t="s">
        <v>8</v>
      </c>
      <c r="U33" s="1571" t="e">
        <f t="shared" si="13"/>
        <v>#N/A</v>
      </c>
      <c r="V33" s="1570" t="s">
        <v>8</v>
      </c>
      <c r="W33" s="1571" t="e">
        <f t="shared" si="14"/>
        <v>#N/A</v>
      </c>
      <c r="X33" s="1564"/>
      <c r="Y33" s="3439"/>
      <c r="Z33" s="1572" t="str">
        <f t="shared" si="15"/>
        <v>成新度</v>
      </c>
      <c r="AA33" s="1573" t="e">
        <f t="shared" si="3"/>
        <v>#N/A</v>
      </c>
      <c r="AB33" s="1573" t="e">
        <f t="shared" si="4"/>
        <v>#N/A</v>
      </c>
      <c r="AC33" s="1573"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9"/>
      <c r="Q34" s="1149" t="str">
        <f t="shared" si="11"/>
        <v>物业管理</v>
      </c>
      <c r="R34" s="1565" t="s">
        <v>8</v>
      </c>
      <c r="S34" s="1566">
        <f t="shared" si="12"/>
        <v>100</v>
      </c>
      <c r="T34" s="1565" t="s">
        <v>8</v>
      </c>
      <c r="U34" s="1566">
        <f t="shared" si="13"/>
        <v>100</v>
      </c>
      <c r="V34" s="1565" t="s">
        <v>8</v>
      </c>
      <c r="W34" s="1566">
        <f t="shared" si="14"/>
        <v>100</v>
      </c>
      <c r="X34" s="1567"/>
      <c r="Y34" s="3439"/>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9" t="s">
        <v>550</v>
      </c>
      <c r="Q35" s="1569" t="str">
        <f t="shared" si="11"/>
        <v>市政基础设施</v>
      </c>
      <c r="R35" s="1570" t="s">
        <v>8</v>
      </c>
      <c r="S35" s="1571">
        <f t="shared" si="12"/>
        <v>100</v>
      </c>
      <c r="T35" s="1570" t="s">
        <v>8</v>
      </c>
      <c r="U35" s="1571">
        <f t="shared" si="13"/>
        <v>100</v>
      </c>
      <c r="V35" s="1570" t="s">
        <v>8</v>
      </c>
      <c r="W35" s="1571">
        <f t="shared" si="14"/>
        <v>100</v>
      </c>
      <c r="X35" s="1564"/>
      <c r="Y35" s="3439" t="s">
        <v>550</v>
      </c>
      <c r="Z35" s="1572" t="str">
        <f t="shared" si="15"/>
        <v>市政基础设施</v>
      </c>
      <c r="AA35" s="1573">
        <f t="shared" si="3"/>
        <v>1</v>
      </c>
      <c r="AB35" s="1573">
        <f t="shared" si="4"/>
        <v>1</v>
      </c>
      <c r="AC35" s="1573">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9"/>
      <c r="Q36" s="1569" t="str">
        <f t="shared" si="11"/>
        <v>内部装修</v>
      </c>
      <c r="R36" s="1570" t="s">
        <v>8</v>
      </c>
      <c r="S36" s="1571">
        <f t="shared" si="12"/>
        <v>100</v>
      </c>
      <c r="T36" s="1570" t="s">
        <v>8</v>
      </c>
      <c r="U36" s="1571">
        <f t="shared" si="13"/>
        <v>100</v>
      </c>
      <c r="V36" s="1570" t="s">
        <v>8</v>
      </c>
      <c r="W36" s="1571">
        <f t="shared" si="14"/>
        <v>100</v>
      </c>
      <c r="X36" s="1564"/>
      <c r="Y36" s="3439"/>
      <c r="Z36" s="1572" t="str">
        <f t="shared" si="15"/>
        <v>内部装修</v>
      </c>
      <c r="AA36" s="1573">
        <f t="shared" si="3"/>
        <v>1</v>
      </c>
      <c r="AB36" s="1573">
        <f t="shared" si="4"/>
        <v>1</v>
      </c>
      <c r="AC36" s="1573">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9"/>
      <c r="Q37" s="1569" t="str">
        <f t="shared" si="11"/>
        <v>内部装修状况</v>
      </c>
      <c r="R37" s="1570" t="s">
        <v>8</v>
      </c>
      <c r="S37" s="1571">
        <f t="shared" si="12"/>
        <v>100</v>
      </c>
      <c r="T37" s="1570" t="s">
        <v>8</v>
      </c>
      <c r="U37" s="1571">
        <f t="shared" si="13"/>
        <v>100</v>
      </c>
      <c r="V37" s="1570" t="s">
        <v>8</v>
      </c>
      <c r="W37" s="1571">
        <f t="shared" si="14"/>
        <v>100</v>
      </c>
      <c r="X37" s="1564"/>
      <c r="Y37" s="3439"/>
      <c r="Z37" s="1572" t="str">
        <f t="shared" si="15"/>
        <v>内部装修状况</v>
      </c>
      <c r="AA37" s="1573">
        <f t="shared" si="3"/>
        <v>1</v>
      </c>
      <c r="AB37" s="1573">
        <f t="shared" si="4"/>
        <v>1</v>
      </c>
      <c r="AC37" s="1573">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6"/>
      <c r="M38" s="2167"/>
      <c r="N38" s="2167"/>
      <c r="O38" s="2139"/>
      <c r="P38" s="3439"/>
      <c r="Q38" s="1602">
        <f t="shared" si="11"/>
        <v>111</v>
      </c>
      <c r="R38" s="1574" t="s">
        <v>8</v>
      </c>
      <c r="S38" s="1575">
        <f t="shared" si="12"/>
        <v>100</v>
      </c>
      <c r="T38" s="1574" t="s">
        <v>8</v>
      </c>
      <c r="U38" s="1575">
        <f t="shared" si="13"/>
        <v>100</v>
      </c>
      <c r="V38" s="1574" t="s">
        <v>8</v>
      </c>
      <c r="W38" s="1575">
        <f t="shared" si="14"/>
        <v>100</v>
      </c>
      <c r="X38" s="1576"/>
      <c r="Y38" s="3439"/>
      <c r="Z38" s="1577">
        <f t="shared" si="15"/>
        <v>111</v>
      </c>
      <c r="AA38" s="1573">
        <f t="shared" si="3"/>
        <v>1</v>
      </c>
      <c r="AB38" s="1573">
        <f t="shared" si="4"/>
        <v>1</v>
      </c>
      <c r="AC38" s="1573">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8"/>
      <c r="M39" s="2130"/>
      <c r="N39" s="2130"/>
      <c r="O39" s="2137"/>
      <c r="P39" s="3439"/>
      <c r="Q39" s="1569">
        <f t="shared" si="11"/>
        <v>111</v>
      </c>
      <c r="R39" s="1570" t="s">
        <v>8</v>
      </c>
      <c r="S39" s="1571">
        <f t="shared" si="12"/>
        <v>100</v>
      </c>
      <c r="T39" s="1570" t="s">
        <v>8</v>
      </c>
      <c r="U39" s="1571">
        <f t="shared" si="13"/>
        <v>100</v>
      </c>
      <c r="V39" s="1570" t="s">
        <v>8</v>
      </c>
      <c r="W39" s="1571">
        <f t="shared" si="14"/>
        <v>100</v>
      </c>
      <c r="X39" s="1564"/>
      <c r="Y39" s="3439"/>
      <c r="Z39" s="1572">
        <f t="shared" si="15"/>
        <v>111</v>
      </c>
      <c r="AA39" s="1573">
        <f t="shared" si="3"/>
        <v>1</v>
      </c>
      <c r="AB39" s="1573">
        <f t="shared" si="4"/>
        <v>1</v>
      </c>
      <c r="AC39" s="1573">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8"/>
      <c r="M40" s="2130"/>
      <c r="N40" s="2130"/>
      <c r="O40" s="2137"/>
      <c r="P40" s="3518"/>
      <c r="Q40" s="1569">
        <f t="shared" si="11"/>
        <v>111</v>
      </c>
      <c r="R40" s="1570" t="s">
        <v>8</v>
      </c>
      <c r="S40" s="1571">
        <f t="shared" si="12"/>
        <v>100</v>
      </c>
      <c r="T40" s="1570" t="s">
        <v>8</v>
      </c>
      <c r="U40" s="1571">
        <f t="shared" si="13"/>
        <v>100</v>
      </c>
      <c r="V40" s="1570" t="s">
        <v>8</v>
      </c>
      <c r="W40" s="1571">
        <f t="shared" si="14"/>
        <v>100</v>
      </c>
      <c r="X40" s="1564"/>
      <c r="Y40" s="3518"/>
      <c r="Z40" s="1572">
        <f t="shared" si="15"/>
        <v>111</v>
      </c>
      <c r="AA40" s="1573">
        <f t="shared" si="3"/>
        <v>1</v>
      </c>
      <c r="AB40" s="1573">
        <f t="shared" si="4"/>
        <v>1</v>
      </c>
      <c r="AC40" s="1573">
        <f t="shared" si="5"/>
        <v>1</v>
      </c>
    </row>
    <row r="41" spans="1:29" ht="15">
      <c r="A41" s="606" t="s">
        <v>736</v>
      </c>
      <c r="B41" s="885"/>
      <c r="C41" s="2623" t="s">
        <v>1</v>
      </c>
      <c r="D41" s="2624"/>
      <c r="E41" s="2625"/>
      <c r="F41" s="2626"/>
      <c r="G41" s="2627"/>
      <c r="H41" s="2628"/>
      <c r="I41" s="2625"/>
      <c r="J41" s="2628"/>
      <c r="K41" s="1608"/>
      <c r="L41" s="2140"/>
      <c r="M41" s="2141"/>
      <c r="N41" s="2130"/>
      <c r="O41" s="2141"/>
      <c r="P41" s="3401" t="str">
        <f>A41</f>
        <v>成交单价（元/平方米）</v>
      </c>
      <c r="Q41" s="3401"/>
      <c r="R41" s="3517">
        <f>E41</f>
        <v>0</v>
      </c>
      <c r="S41" s="3517"/>
      <c r="T41" s="3517">
        <f>G41</f>
        <v>0</v>
      </c>
      <c r="U41" s="3517"/>
      <c r="V41" s="3517">
        <f>I41</f>
        <v>0</v>
      </c>
      <c r="W41" s="3517"/>
      <c r="X41" s="1556"/>
      <c r="Y41" s="1578"/>
      <c r="Z41" s="1556"/>
      <c r="AA41" s="1556"/>
      <c r="AB41" s="1556"/>
      <c r="AC41" s="1556"/>
    </row>
    <row r="42" spans="1:29" ht="15.75" thickBot="1">
      <c r="A42" s="614" t="s">
        <v>2760</v>
      </c>
      <c r="B42" s="886"/>
      <c r="C42" s="2629" t="e">
        <f>R43</f>
        <v>#DIV/0!</v>
      </c>
      <c r="D42" s="2630"/>
      <c r="E42" s="2631" t="e">
        <f>R42</f>
        <v>#DIV/0!</v>
      </c>
      <c r="F42" s="2631"/>
      <c r="G42" s="2629" t="e">
        <f>T42</f>
        <v>#DIV/0!</v>
      </c>
      <c r="H42" s="2630"/>
      <c r="I42" s="2631" t="e">
        <f>V42</f>
        <v>#DIV/0!</v>
      </c>
      <c r="J42" s="2630"/>
      <c r="K42" s="1609"/>
      <c r="L42" s="2140"/>
      <c r="M42" s="2141"/>
      <c r="N42" s="2130"/>
      <c r="O42" s="2141"/>
      <c r="P42" s="3401" t="str">
        <f>A42</f>
        <v>比较价格（元/平方米）</v>
      </c>
      <c r="Q42" s="3401"/>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6"/>
      <c r="Y42" s="1556"/>
      <c r="Z42" s="1556"/>
      <c r="AA42" s="1556"/>
      <c r="AB42" s="1556"/>
      <c r="AC42" s="1556"/>
    </row>
    <row r="43" spans="1:29" ht="15.75" thickBot="1">
      <c r="A43" s="620" t="s">
        <v>2924</v>
      </c>
      <c r="B43" s="621"/>
      <c r="C43" s="2632" t="e">
        <f>R43</f>
        <v>#DIV/0!</v>
      </c>
      <c r="D43" s="2632"/>
      <c r="E43" s="2632"/>
      <c r="F43" s="2632"/>
      <c r="G43" s="2632"/>
      <c r="H43" s="2632"/>
      <c r="I43" s="2632"/>
      <c r="J43" s="2632"/>
      <c r="K43" s="1610"/>
      <c r="L43" s="2140"/>
      <c r="M43" s="2141"/>
      <c r="N43" s="2141"/>
      <c r="O43" s="2141"/>
      <c r="P43" s="3398" t="str">
        <f>A43</f>
        <v>估价对象XX用房的比较价格（楼面单价，元/平方米）</v>
      </c>
      <c r="Q43" s="3399"/>
      <c r="R43" s="3516" t="e">
        <f>IF(F1="售价",ROUND(AVERAGE(R42:V42),0),ROUND(AVERAGE(R42:V42),1))</f>
        <v>#DIV/0!</v>
      </c>
      <c r="S43" s="3516"/>
      <c r="T43" s="3516"/>
      <c r="U43" s="3516"/>
      <c r="V43" s="3516"/>
      <c r="W43" s="3516"/>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529</v>
      </c>
      <c r="B52" s="645"/>
      <c r="C52" s="2798" t="str">
        <f>YEAR(C7)&amp;"-"&amp;MONTH(C7)</f>
        <v>2018-8</v>
      </c>
      <c r="D52" s="2800">
        <f>EDATE(C52,-1)</f>
        <v>43282</v>
      </c>
      <c r="E52" s="2800">
        <f t="shared" ref="E52:O52" si="16">EDATE(D52,-1)</f>
        <v>43252</v>
      </c>
      <c r="F52" s="2800">
        <f t="shared" si="16"/>
        <v>43221</v>
      </c>
      <c r="G52" s="2800">
        <f t="shared" si="16"/>
        <v>43191</v>
      </c>
      <c r="H52" s="2800">
        <f t="shared" si="16"/>
        <v>43160</v>
      </c>
      <c r="I52" s="2800">
        <f t="shared" si="16"/>
        <v>43132</v>
      </c>
      <c r="J52" s="2800">
        <f t="shared" si="16"/>
        <v>43101</v>
      </c>
      <c r="K52" s="2800">
        <f t="shared" si="16"/>
        <v>43070</v>
      </c>
      <c r="L52" s="2800">
        <f t="shared" si="16"/>
        <v>43040</v>
      </c>
      <c r="M52" s="2800">
        <f t="shared" si="16"/>
        <v>43009</v>
      </c>
      <c r="N52" s="2800">
        <f t="shared" si="16"/>
        <v>42979</v>
      </c>
      <c r="O52" s="2800">
        <f t="shared" si="16"/>
        <v>42948</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575</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531</v>
      </c>
      <c r="B55" s="647"/>
      <c r="C55" s="659" t="s">
        <v>576</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577</v>
      </c>
      <c r="B57" s="664" t="s">
        <v>534</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539</v>
      </c>
      <c r="B70" s="664" t="s">
        <v>585</v>
      </c>
      <c r="C70" s="702" t="s">
        <v>579</v>
      </c>
      <c r="D70" s="702" t="s">
        <v>580</v>
      </c>
      <c r="E70" s="702" t="s">
        <v>581</v>
      </c>
      <c r="F70" s="702" t="s">
        <v>582</v>
      </c>
      <c r="G70" s="702" t="s">
        <v>583</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586</v>
      </c>
      <c r="C72" s="707" t="s">
        <v>579</v>
      </c>
      <c r="D72" s="707" t="s">
        <v>580</v>
      </c>
      <c r="E72" s="707" t="s">
        <v>581</v>
      </c>
      <c r="F72" s="707" t="s">
        <v>582</v>
      </c>
      <c r="G72" s="707" t="s">
        <v>583</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579</v>
      </c>
      <c r="D74" s="707" t="s">
        <v>580</v>
      </c>
      <c r="E74" s="707" t="s">
        <v>581</v>
      </c>
      <c r="F74" s="707" t="s">
        <v>582</v>
      </c>
      <c r="G74" s="707" t="s">
        <v>583</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93" t="s">
        <v>2558</v>
      </c>
      <c r="C76" s="2594" t="s">
        <v>2559</v>
      </c>
      <c r="D76" s="2594" t="s">
        <v>2560</v>
      </c>
      <c r="E76" s="2594" t="s">
        <v>2561</v>
      </c>
      <c r="F76" s="2594" t="s">
        <v>2562</v>
      </c>
      <c r="G76" s="2594" t="s">
        <v>2563</v>
      </c>
      <c r="H76" s="933"/>
      <c r="I76" s="933"/>
      <c r="J76" s="933"/>
      <c r="K76" s="933"/>
      <c r="L76" s="933"/>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784</v>
      </c>
      <c r="C78" s="707" t="s">
        <v>579</v>
      </c>
      <c r="D78" s="707" t="s">
        <v>580</v>
      </c>
      <c r="E78" s="707" t="s">
        <v>581</v>
      </c>
      <c r="F78" s="707" t="s">
        <v>582</v>
      </c>
      <c r="G78" s="707" t="s">
        <v>583</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1"/>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551</v>
      </c>
      <c r="B88" s="664" t="s">
        <v>747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749</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751</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753</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755</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1"/>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zoomScale="80" zoomScaleNormal="80" workbookViewId="0">
      <selection activeCell="N14" sqref="N1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923</v>
      </c>
      <c r="C1" s="503" t="s">
        <v>792</v>
      </c>
      <c r="D1" s="848" t="s">
        <v>35</v>
      </c>
      <c r="E1" s="505"/>
      <c r="F1" s="2803" t="s">
        <v>2999</v>
      </c>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f>IF(B37="元/平方米",ROUND(B3*D3/10000,0),ROUND(F3*C39/10000,0))</f>
        <v>28747</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f>IF(B37="元/平方米",C39,ROUND(B2*10000/D3,0))</f>
        <v>10041</v>
      </c>
      <c r="C3" s="851" t="s">
        <v>796</v>
      </c>
      <c r="D3" s="850">
        <f>SUMIF('数据-汇总表'!$C19:$C33,D1,'数据-汇总表'!$E19:$E33)</f>
        <v>28630</v>
      </c>
      <c r="E3" s="1844" t="s">
        <v>2077</v>
      </c>
      <c r="F3" s="850">
        <f>SUMIF('数据-取费表'!A5:A15,D1,'数据-取费表'!AH5:AH15)</f>
        <v>818</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07" t="s">
        <v>799</v>
      </c>
      <c r="F4" s="3408"/>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522"/>
      <c r="D5" s="3441"/>
      <c r="E5" s="3425" t="s">
        <v>3293</v>
      </c>
      <c r="F5" s="3424"/>
      <c r="G5" s="3425" t="s">
        <v>3218</v>
      </c>
      <c r="H5" s="3424"/>
      <c r="I5" s="3425" t="s">
        <v>3332</v>
      </c>
      <c r="J5" s="3424"/>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524"/>
      <c r="D6" s="3443"/>
      <c r="E6" s="3426"/>
      <c r="F6" s="3427"/>
      <c r="G6" s="3421" t="s">
        <v>3236</v>
      </c>
      <c r="H6" s="3422"/>
      <c r="I6" s="3421"/>
      <c r="J6" s="3422"/>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f>C7</f>
        <v>43328</v>
      </c>
      <c r="F7" s="521">
        <f>SUMIF(48:48,YEAR(E7)&amp;"-"&amp;MONTH(E7),49:49)</f>
        <v>100</v>
      </c>
      <c r="G7" s="522">
        <f>C7</f>
        <v>43328</v>
      </c>
      <c r="H7" s="519">
        <f>SUMIF(48:48,YEAR(G7)&amp;"-"&amp;MONTH(G7),49:49)</f>
        <v>100</v>
      </c>
      <c r="I7" s="522">
        <f>C7</f>
        <v>43328</v>
      </c>
      <c r="J7" s="519">
        <f>SUMIF(48:48,YEAR(I7)&amp;"-"&amp;MONTH(I7),49:49)</f>
        <v>100</v>
      </c>
      <c r="K7" s="523"/>
      <c r="L7" s="2131"/>
      <c r="M7" s="2132"/>
      <c r="N7" s="2132"/>
      <c r="O7" s="2132"/>
      <c r="P7" s="3433" t="s">
        <v>530</v>
      </c>
      <c r="Q7" s="3435"/>
      <c r="R7" s="1565" t="s">
        <v>8</v>
      </c>
      <c r="S7" s="1566">
        <f t="shared" ref="S7:S14" si="0">F7</f>
        <v>100</v>
      </c>
      <c r="T7" s="1565" t="s">
        <v>8</v>
      </c>
      <c r="U7" s="1566">
        <f t="shared" ref="U7:U14" si="1">H7</f>
        <v>100</v>
      </c>
      <c r="V7" s="1565" t="s">
        <v>8</v>
      </c>
      <c r="W7" s="1566">
        <f t="shared" ref="W7:W14" si="2">J7</f>
        <v>100</v>
      </c>
      <c r="X7" s="1567"/>
      <c r="Y7" s="3433" t="s">
        <v>530</v>
      </c>
      <c r="Z7" s="3434"/>
      <c r="AA7" s="1568">
        <f>D7/F7</f>
        <v>1</v>
      </c>
      <c r="AB7" s="1568">
        <f>D7/H7</f>
        <v>1</v>
      </c>
      <c r="AC7" s="1568">
        <f>D7/J7</f>
        <v>1</v>
      </c>
    </row>
    <row r="8" spans="1:29" s="1218" customFormat="1" ht="15.75" thickBot="1">
      <c r="A8" s="2909"/>
      <c r="B8" s="2916"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1"/>
      <c r="M8" s="2132"/>
      <c r="N8" s="2132"/>
      <c r="O8" s="2132"/>
      <c r="P8" s="3433" t="s">
        <v>533</v>
      </c>
      <c r="Q8" s="3434"/>
      <c r="R8" s="1565" t="s">
        <v>8</v>
      </c>
      <c r="S8" s="1566">
        <f t="shared" si="0"/>
        <v>100</v>
      </c>
      <c r="T8" s="1565" t="s">
        <v>8</v>
      </c>
      <c r="U8" s="1566">
        <f t="shared" si="1"/>
        <v>100</v>
      </c>
      <c r="V8" s="1565" t="s">
        <v>8</v>
      </c>
      <c r="W8" s="1566">
        <f t="shared" si="2"/>
        <v>100</v>
      </c>
      <c r="X8" s="1567"/>
      <c r="Y8" s="3433" t="s">
        <v>533</v>
      </c>
      <c r="Z8" s="3434"/>
      <c r="AA8" s="1568">
        <f t="shared" ref="AA8:AA36" si="3">D8/F8</f>
        <v>1</v>
      </c>
      <c r="AB8" s="1568">
        <f t="shared" ref="AB8:AB36" si="4">D8/H8</f>
        <v>1</v>
      </c>
      <c r="AC8" s="1568">
        <f t="shared" ref="AC8:AC36" si="5">D8/J8</f>
        <v>1</v>
      </c>
    </row>
    <row r="9" spans="1:29" s="1218" customFormat="1" ht="15">
      <c r="A9" s="2910"/>
      <c r="B9" s="2917" t="s">
        <v>2756</v>
      </c>
      <c r="C9" s="3186" t="s">
        <v>3216</v>
      </c>
      <c r="D9" s="253">
        <v>100</v>
      </c>
      <c r="E9" s="859" t="s">
        <v>2992</v>
      </c>
      <c r="F9" s="253">
        <f>SUMIF(53:53,E9,54:54)-SUMIF(53:53,C9,54:54)+100</f>
        <v>100</v>
      </c>
      <c r="G9" s="859" t="s">
        <v>2992</v>
      </c>
      <c r="H9" s="253">
        <f>SUMIF(53:53,G9,54:54)-SUMIF(53:53,C9,54:54)+100</f>
        <v>100</v>
      </c>
      <c r="I9" s="859" t="s">
        <v>2992</v>
      </c>
      <c r="J9" s="253">
        <f>SUMIF(53:53,I9,54:54)-SUMIF(53:53,C9,54:54)+100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75" thickBot="1">
      <c r="A10" s="2911"/>
      <c r="B10" s="2916" t="s">
        <v>2757</v>
      </c>
      <c r="C10" s="860" t="s">
        <v>3217</v>
      </c>
      <c r="D10" s="254">
        <v>100</v>
      </c>
      <c r="E10" s="860" t="s">
        <v>3217</v>
      </c>
      <c r="F10" s="254">
        <f>SUMIF(55:55,E10,56:56)-SUMIF(55:55,C10,56:56)+100</f>
        <v>100</v>
      </c>
      <c r="G10" s="860" t="s">
        <v>3217</v>
      </c>
      <c r="H10" s="254">
        <f>SUMIF(55:55,G10,56:56)-SUMIF(55:55,C10,56:56)+100</f>
        <v>100</v>
      </c>
      <c r="I10" s="860" t="s">
        <v>3217</v>
      </c>
      <c r="J10" s="254">
        <f>SUMIF(55:55,I10,56:56)-SUMIF(55:55,C10,56:56)+100</f>
        <v>100</v>
      </c>
      <c r="K10" s="583">
        <v>2</v>
      </c>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hidden="1">
      <c r="A11" s="2913"/>
      <c r="B11" s="2919">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hidden="1">
      <c r="A12" s="2913"/>
      <c r="B12" s="2919">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hidden="1" thickBot="1">
      <c r="A13" s="2914"/>
      <c r="B13" s="2920">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546" t="s">
        <v>543</v>
      </c>
      <c r="C14" s="919" t="str">
        <f>IF(B1="工业",估价对象房地状况!G4,估价对象房地状况!C6)</f>
        <v>估价对象周边道路密集程度较好、公共交通通达情况较好、有7、8、19等公共交通，停车便捷程度较好，综合评价交通便捷度较好。</v>
      </c>
      <c r="D14" s="548">
        <v>100</v>
      </c>
      <c r="E14" s="3187" t="s">
        <v>3307</v>
      </c>
      <c r="F14" s="550">
        <f>SUMIF(63:63,E15,64:64)-SUMIF(63:63,C15,64:64)+100</f>
        <v>100</v>
      </c>
      <c r="G14" s="549" t="s">
        <v>3297</v>
      </c>
      <c r="H14" s="548">
        <f>SUMIF(63:63,G15,64:64)-SUMIF(63:63,C15,64:64)+100</f>
        <v>98</v>
      </c>
      <c r="I14" s="3187" t="s">
        <v>3309</v>
      </c>
      <c r="J14" s="548">
        <f>SUMIF(63:63,I15,64:64)-SUMIF(63:63,C15,64:64)+100</f>
        <v>100</v>
      </c>
      <c r="K14" s="896">
        <v>2</v>
      </c>
      <c r="L14" s="2138"/>
      <c r="M14" s="2130"/>
      <c r="N14" s="2130"/>
      <c r="O14" s="2137"/>
      <c r="P14" s="3436" t="s">
        <v>540</v>
      </c>
      <c r="Q14" s="1569" t="str">
        <f t="shared" si="6"/>
        <v>交通便捷度</v>
      </c>
      <c r="R14" s="1570" t="s">
        <v>8</v>
      </c>
      <c r="S14" s="1571">
        <f t="shared" si="0"/>
        <v>100</v>
      </c>
      <c r="T14" s="1570" t="s">
        <v>8</v>
      </c>
      <c r="U14" s="1571">
        <f t="shared" si="1"/>
        <v>98</v>
      </c>
      <c r="V14" s="1570" t="s">
        <v>8</v>
      </c>
      <c r="W14" s="1571">
        <f t="shared" si="2"/>
        <v>100</v>
      </c>
      <c r="X14" s="1564"/>
      <c r="Y14" s="3436" t="s">
        <v>540</v>
      </c>
      <c r="Z14" s="1572" t="str">
        <f t="shared" si="7"/>
        <v>交通便捷度</v>
      </c>
      <c r="AA14" s="1573">
        <f t="shared" si="3"/>
        <v>1</v>
      </c>
      <c r="AB14" s="1573">
        <f t="shared" si="4"/>
        <v>1.0204081632653061</v>
      </c>
      <c r="AC14" s="1573">
        <f t="shared" si="5"/>
        <v>1</v>
      </c>
    </row>
    <row r="15" spans="1:29" ht="15">
      <c r="A15" s="514"/>
      <c r="B15" s="922"/>
      <c r="C15" s="575" t="s">
        <v>3002</v>
      </c>
      <c r="D15" s="554"/>
      <c r="E15" s="575" t="s">
        <v>3002</v>
      </c>
      <c r="F15" s="556"/>
      <c r="G15" s="575" t="s">
        <v>3003</v>
      </c>
      <c r="H15" s="558"/>
      <c r="I15" s="575" t="s">
        <v>3002</v>
      </c>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14"/>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3224" t="s">
        <v>3310</v>
      </c>
      <c r="F16" s="570">
        <f>SUMIF(65:65,E17,66:66)-SUMIF(65:65,C17,66:66)+100</f>
        <v>98</v>
      </c>
      <c r="G16" s="3224" t="s">
        <v>3312</v>
      </c>
      <c r="H16" s="564">
        <f>SUMIF(65:65,G17,66:66)-SUMIF(65:65,C17,66:66)+100</f>
        <v>98</v>
      </c>
      <c r="I16" s="3224" t="s">
        <v>3314</v>
      </c>
      <c r="J16" s="564">
        <f>SUMIF(65:65,I17,66:66)-SUMIF(65:65,C17,66:66)+100</f>
        <v>98</v>
      </c>
      <c r="K16" s="896">
        <v>2</v>
      </c>
      <c r="L16" s="2138"/>
      <c r="M16" s="2130"/>
      <c r="N16" s="2130"/>
      <c r="O16" s="2137"/>
      <c r="P16" s="3437"/>
      <c r="Q16" s="1569" t="str">
        <f>B16</f>
        <v>公共配套设施</v>
      </c>
      <c r="R16" s="1570" t="s">
        <v>8</v>
      </c>
      <c r="S16" s="1571">
        <f>F16</f>
        <v>98</v>
      </c>
      <c r="T16" s="1570" t="s">
        <v>8</v>
      </c>
      <c r="U16" s="1571">
        <f>H16</f>
        <v>98</v>
      </c>
      <c r="V16" s="1570" t="s">
        <v>8</v>
      </c>
      <c r="W16" s="1571">
        <f>J16</f>
        <v>98</v>
      </c>
      <c r="X16" s="1564"/>
      <c r="Y16" s="3437"/>
      <c r="Z16" s="1572" t="str">
        <f>Q16</f>
        <v>公共配套设施</v>
      </c>
      <c r="AA16" s="1573">
        <f t="shared" si="3"/>
        <v>1.0204081632653061</v>
      </c>
      <c r="AB16" s="1573">
        <f t="shared" si="4"/>
        <v>1.0204081632653061</v>
      </c>
      <c r="AC16" s="1573">
        <f t="shared" si="5"/>
        <v>1.0204081632653061</v>
      </c>
    </row>
    <row r="17" spans="1:29" ht="15">
      <c r="A17" s="514"/>
      <c r="B17" s="565"/>
      <c r="C17" s="872" t="s">
        <v>3021</v>
      </c>
      <c r="D17" s="554"/>
      <c r="E17" s="872" t="s">
        <v>3002</v>
      </c>
      <c r="F17" s="556"/>
      <c r="G17" s="872" t="s">
        <v>3002</v>
      </c>
      <c r="H17" s="554"/>
      <c r="I17" s="872" t="s">
        <v>3002</v>
      </c>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14"/>
      <c r="B18" s="2587" t="s">
        <v>2558</v>
      </c>
      <c r="C18" s="871" t="str">
        <f>IF(B1="工业",估价对象房地状况!G6,估价对象房地状况!C8)</f>
        <v>估价对象所在区域基础设施水平达到“六通”。</v>
      </c>
      <c r="D18" s="558">
        <v>100</v>
      </c>
      <c r="E18" s="571" t="s">
        <v>3237</v>
      </c>
      <c r="F18" s="570">
        <f>SUMIF(67:67,E19,68:68)-SUMIF(67:67,C19,68:68)+100</f>
        <v>100</v>
      </c>
      <c r="G18" s="571" t="s">
        <v>3215</v>
      </c>
      <c r="H18" s="564">
        <f>SUMIF(67:67,G19,68:68)-SUMIF(67:67,C19,68:68)+100</f>
        <v>100</v>
      </c>
      <c r="I18" s="569" t="s">
        <v>3214</v>
      </c>
      <c r="J18" s="564">
        <f>SUMIF(67:67,I19,68:68)-SUMIF(67:67,C19,68:68)+100</f>
        <v>100</v>
      </c>
      <c r="K18" s="896">
        <v>1</v>
      </c>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14"/>
      <c r="B19" s="577"/>
      <c r="C19" s="872" t="s">
        <v>3004</v>
      </c>
      <c r="D19" s="558"/>
      <c r="E19" s="575" t="s">
        <v>3004</v>
      </c>
      <c r="F19" s="556"/>
      <c r="G19" s="575" t="s">
        <v>3004</v>
      </c>
      <c r="H19" s="554"/>
      <c r="I19" s="575" t="s">
        <v>3004</v>
      </c>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121.5">
      <c r="A20" s="514"/>
      <c r="B20" s="559" t="s">
        <v>804</v>
      </c>
      <c r="C20" s="871" t="str">
        <f>IF(B1="工业",估价对象房地状况!G7,估价对象房地状况!C9)</f>
        <v>区域自然环境：爱民园、于山风景区等；人文环境：孝悌图书馆、福建大剧院；综合评价环境状况较好。</v>
      </c>
      <c r="D20" s="564">
        <v>100</v>
      </c>
      <c r="E20" s="3188" t="s">
        <v>3317</v>
      </c>
      <c r="F20" s="562">
        <f>SUMIF(69:69,E21,70:70)-SUMIF(69:69,C21,70:70)+100</f>
        <v>100</v>
      </c>
      <c r="G20" s="3188" t="s">
        <v>3316</v>
      </c>
      <c r="H20" s="558">
        <f>SUMIF(69:69,G21,70:70)-SUMIF(69:69,C21,70:70)+100</f>
        <v>98</v>
      </c>
      <c r="I20" s="3188" t="s">
        <v>3317</v>
      </c>
      <c r="J20" s="558">
        <f>SUMIF(69:69,I21,70:70)-SUMIF(69:69,C21,70:70)+100</f>
        <v>100</v>
      </c>
      <c r="K20" s="896">
        <v>2</v>
      </c>
      <c r="L20" s="2138"/>
      <c r="M20" s="2130"/>
      <c r="N20" s="2130"/>
      <c r="O20" s="2137"/>
      <c r="P20" s="3437"/>
      <c r="Q20" s="1569" t="str">
        <f>B20</f>
        <v>自然及人文环境</v>
      </c>
      <c r="R20" s="1570" t="s">
        <v>8</v>
      </c>
      <c r="S20" s="1571">
        <f>F20</f>
        <v>100</v>
      </c>
      <c r="T20" s="1570" t="s">
        <v>8</v>
      </c>
      <c r="U20" s="1571">
        <f>H20</f>
        <v>98</v>
      </c>
      <c r="V20" s="1570" t="s">
        <v>8</v>
      </c>
      <c r="W20" s="1571">
        <f>J20</f>
        <v>100</v>
      </c>
      <c r="X20" s="1564"/>
      <c r="Y20" s="3437"/>
      <c r="Z20" s="1572" t="str">
        <f>Q20</f>
        <v>自然及人文环境</v>
      </c>
      <c r="AA20" s="1573">
        <f t="shared" si="3"/>
        <v>1</v>
      </c>
      <c r="AB20" s="1573">
        <f t="shared" si="4"/>
        <v>1.0204081632653061</v>
      </c>
      <c r="AC20" s="1573">
        <f t="shared" si="5"/>
        <v>1</v>
      </c>
    </row>
    <row r="21" spans="1:29" ht="15">
      <c r="A21" s="514"/>
      <c r="B21" s="565"/>
      <c r="C21" s="575" t="s">
        <v>3002</v>
      </c>
      <c r="D21" s="554"/>
      <c r="E21" s="575" t="s">
        <v>3002</v>
      </c>
      <c r="F21" s="556"/>
      <c r="G21" s="575" t="s">
        <v>3003</v>
      </c>
      <c r="H21" s="554"/>
      <c r="I21" s="575" t="s">
        <v>3002</v>
      </c>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75" thickBot="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7"/>
      <c r="Q24" s="1569">
        <f t="shared" ref="Q24:Q36"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1</v>
      </c>
      <c r="L26" s="2138"/>
      <c r="M26" s="2130"/>
      <c r="N26" s="2130"/>
      <c r="O26" s="2137"/>
      <c r="P26" s="343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9" t="s">
        <v>550</v>
      </c>
      <c r="Z26" s="1572" t="str">
        <f t="shared" ref="Z26:Z36" si="15">Q26</f>
        <v>配套类型</v>
      </c>
      <c r="AA26" s="1573">
        <f t="shared" si="3"/>
        <v>1</v>
      </c>
      <c r="AB26" s="1573">
        <f t="shared" si="4"/>
        <v>1</v>
      </c>
      <c r="AC26" s="1573">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6"/>
      <c r="M27" s="2167"/>
      <c r="N27" s="2167"/>
      <c r="O27" s="2139"/>
      <c r="P27" s="3439"/>
      <c r="Q27" s="1602" t="str">
        <f t="shared" si="11"/>
        <v>项目停车位配比</v>
      </c>
      <c r="R27" s="1574" t="s">
        <v>8</v>
      </c>
      <c r="S27" s="1575">
        <f t="shared" si="12"/>
        <v>100</v>
      </c>
      <c r="T27" s="1574" t="s">
        <v>8</v>
      </c>
      <c r="U27" s="1575">
        <f t="shared" si="13"/>
        <v>100</v>
      </c>
      <c r="V27" s="1574" t="s">
        <v>8</v>
      </c>
      <c r="W27" s="1575">
        <f t="shared" si="14"/>
        <v>100</v>
      </c>
      <c r="X27" s="1576"/>
      <c r="Y27" s="3439"/>
      <c r="Z27" s="1577" t="str">
        <f t="shared" si="15"/>
        <v>项目停车位配比</v>
      </c>
      <c r="AA27" s="1573">
        <f t="shared" si="3"/>
        <v>1</v>
      </c>
      <c r="AB27" s="1573">
        <f t="shared" si="4"/>
        <v>1</v>
      </c>
      <c r="AC27" s="1573">
        <f t="shared" si="5"/>
        <v>1</v>
      </c>
    </row>
    <row r="28" spans="1:29" ht="15">
      <c r="A28" s="929"/>
      <c r="B28" s="581" t="s">
        <v>808</v>
      </c>
      <c r="C28" s="573" t="s">
        <v>3033</v>
      </c>
      <c r="D28" s="539">
        <v>100</v>
      </c>
      <c r="E28" s="573" t="s">
        <v>3033</v>
      </c>
      <c r="F28" s="574">
        <f>SUMIF(83:83,E28,84:84)-SUMIF(83:83,C28,84:84)+100</f>
        <v>100</v>
      </c>
      <c r="G28" s="573" t="s">
        <v>3033</v>
      </c>
      <c r="H28" s="539">
        <f>SUMIF(83:83,G28,84:84)-SUMIF(83:83,C28,84:84)+100</f>
        <v>100</v>
      </c>
      <c r="I28" s="573" t="s">
        <v>3033</v>
      </c>
      <c r="J28" s="539">
        <f>SUMIF(83:83,I28,84:84)-SUMIF(83:83,C28,84:84)+100</f>
        <v>100</v>
      </c>
      <c r="K28" s="583"/>
      <c r="L28" s="2138"/>
      <c r="M28" s="2130"/>
      <c r="N28" s="2130"/>
      <c r="O28" s="2137"/>
      <c r="P28" s="3439"/>
      <c r="Q28" s="1569" t="str">
        <f t="shared" si="11"/>
        <v>公共部分装修</v>
      </c>
      <c r="R28" s="1570" t="s">
        <v>8</v>
      </c>
      <c r="S28" s="1571">
        <f t="shared" si="12"/>
        <v>100</v>
      </c>
      <c r="T28" s="1570" t="s">
        <v>8</v>
      </c>
      <c r="U28" s="1571">
        <f t="shared" si="13"/>
        <v>100</v>
      </c>
      <c r="V28" s="1570" t="s">
        <v>8</v>
      </c>
      <c r="W28" s="1571">
        <f t="shared" si="14"/>
        <v>100</v>
      </c>
      <c r="X28" s="1564"/>
      <c r="Y28" s="3439"/>
      <c r="Z28" s="1572" t="str">
        <f t="shared" si="15"/>
        <v>公共部分装修</v>
      </c>
      <c r="AA28" s="1573">
        <f t="shared" si="3"/>
        <v>1</v>
      </c>
      <c r="AB28" s="1573">
        <f t="shared" si="4"/>
        <v>1</v>
      </c>
      <c r="AC28" s="1573">
        <f t="shared" si="5"/>
        <v>1</v>
      </c>
    </row>
    <row r="29" spans="1:29" ht="15">
      <c r="A29" s="929"/>
      <c r="B29" s="581" t="s">
        <v>809</v>
      </c>
      <c r="C29" s="881">
        <v>1</v>
      </c>
      <c r="D29" s="539">
        <v>100</v>
      </c>
      <c r="E29" s="881">
        <v>1</v>
      </c>
      <c r="F29" s="574">
        <f>LOOKUP(E29,86:86,87:87)-LOOKUP(C29,86:86,87:87)+100</f>
        <v>100</v>
      </c>
      <c r="G29" s="881">
        <v>0.95</v>
      </c>
      <c r="H29" s="574">
        <f>LOOKUP(G29,86:86,87:87)-LOOKUP(C29,86:86,87:87)+100</f>
        <v>100</v>
      </c>
      <c r="I29" s="881">
        <v>0.83</v>
      </c>
      <c r="J29" s="539">
        <f>LOOKUP(I29,86:86,87:87)-LOOKUP(C29,86:86,87:87)+100</f>
        <v>97</v>
      </c>
      <c r="K29" s="583">
        <v>3</v>
      </c>
      <c r="L29" s="2138"/>
      <c r="M29" s="2130"/>
      <c r="N29" s="2130"/>
      <c r="O29" s="2137"/>
      <c r="P29" s="3439"/>
      <c r="Q29" s="1569" t="str">
        <f t="shared" si="11"/>
        <v>成新率</v>
      </c>
      <c r="R29" s="1570" t="s">
        <v>8</v>
      </c>
      <c r="S29" s="1571">
        <f t="shared" si="12"/>
        <v>100</v>
      </c>
      <c r="T29" s="1570" t="s">
        <v>8</v>
      </c>
      <c r="U29" s="1571">
        <f t="shared" si="13"/>
        <v>100</v>
      </c>
      <c r="V29" s="1570" t="s">
        <v>8</v>
      </c>
      <c r="W29" s="1571">
        <f t="shared" si="14"/>
        <v>97</v>
      </c>
      <c r="X29" s="1564"/>
      <c r="Y29" s="3439"/>
      <c r="Z29" s="1572" t="str">
        <f t="shared" si="15"/>
        <v>成新率</v>
      </c>
      <c r="AA29" s="1573">
        <f t="shared" si="3"/>
        <v>1</v>
      </c>
      <c r="AB29" s="1573">
        <f t="shared" si="4"/>
        <v>1</v>
      </c>
      <c r="AC29" s="1573">
        <f t="shared" si="5"/>
        <v>1.0309278350515463</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38"/>
      <c r="M30" s="2130"/>
      <c r="N30" s="2130"/>
      <c r="O30" s="2137"/>
      <c r="P30" s="3439"/>
      <c r="Q30" s="1569" t="str">
        <f t="shared" si="11"/>
        <v>物业等级</v>
      </c>
      <c r="R30" s="1570" t="s">
        <v>8</v>
      </c>
      <c r="S30" s="1571">
        <f t="shared" si="12"/>
        <v>100</v>
      </c>
      <c r="T30" s="1570" t="s">
        <v>8</v>
      </c>
      <c r="U30" s="1571">
        <f t="shared" si="13"/>
        <v>100</v>
      </c>
      <c r="V30" s="1570" t="s">
        <v>8</v>
      </c>
      <c r="W30" s="1571">
        <f t="shared" si="14"/>
        <v>100</v>
      </c>
      <c r="X30" s="1564"/>
      <c r="Y30" s="3439"/>
      <c r="Z30" s="1572" t="str">
        <f t="shared" si="15"/>
        <v>物业等级</v>
      </c>
      <c r="AA30" s="1573">
        <f t="shared" si="3"/>
        <v>1</v>
      </c>
      <c r="AB30" s="1573">
        <f t="shared" si="4"/>
        <v>1</v>
      </c>
      <c r="AC30" s="1573">
        <f t="shared" si="5"/>
        <v>1</v>
      </c>
    </row>
    <row r="31" spans="1:29" s="1218" customFormat="1" ht="15">
      <c r="A31" s="931"/>
      <c r="B31" s="581" t="s">
        <v>811</v>
      </c>
      <c r="C31" s="878">
        <v>35</v>
      </c>
      <c r="D31" s="254">
        <v>100</v>
      </c>
      <c r="E31" s="878">
        <v>35</v>
      </c>
      <c r="F31" s="574">
        <f>LOOKUP(E31,91:91,92:92)-LOOKUP(C31,91:91,92:92)+100</f>
        <v>100</v>
      </c>
      <c r="G31" s="878">
        <v>30</v>
      </c>
      <c r="H31" s="539">
        <f>LOOKUP(G31,91:91,92:92)-LOOKUP(C31,91:91,92:92)+100</f>
        <v>100</v>
      </c>
      <c r="I31" s="878">
        <v>35</v>
      </c>
      <c r="J31" s="539">
        <f>LOOKUP(I31,91:91,92:92)-LOOKUP(C31,91:91,92:92)+100</f>
        <v>100</v>
      </c>
      <c r="K31" s="583">
        <v>2</v>
      </c>
      <c r="L31" s="2131"/>
      <c r="M31" s="2132"/>
      <c r="N31" s="2132"/>
      <c r="O31" s="2133"/>
      <c r="P31" s="3439"/>
      <c r="Q31" s="1149" t="str">
        <f t="shared" si="11"/>
        <v>停车位面积</v>
      </c>
      <c r="R31" s="1565" t="s">
        <v>8</v>
      </c>
      <c r="S31" s="1566">
        <f t="shared" si="12"/>
        <v>100</v>
      </c>
      <c r="T31" s="1565" t="s">
        <v>8</v>
      </c>
      <c r="U31" s="1566">
        <f t="shared" si="13"/>
        <v>100</v>
      </c>
      <c r="V31" s="1565" t="s">
        <v>8</v>
      </c>
      <c r="W31" s="1566">
        <f t="shared" si="14"/>
        <v>100</v>
      </c>
      <c r="X31" s="1567"/>
      <c r="Y31" s="3439"/>
      <c r="Z31" s="1148" t="str">
        <f t="shared" si="15"/>
        <v>停车位面积</v>
      </c>
      <c r="AA31" s="1568">
        <f t="shared" si="3"/>
        <v>1</v>
      </c>
      <c r="AB31" s="1568">
        <f t="shared" si="4"/>
        <v>1</v>
      </c>
      <c r="AC31" s="1568">
        <f t="shared" si="5"/>
        <v>1</v>
      </c>
    </row>
    <row r="32" spans="1:29" ht="15">
      <c r="A32" s="929"/>
      <c r="B32" s="581" t="s">
        <v>812</v>
      </c>
      <c r="C32" s="573" t="s">
        <v>3211</v>
      </c>
      <c r="D32" s="539">
        <v>100</v>
      </c>
      <c r="E32" s="573" t="s">
        <v>3211</v>
      </c>
      <c r="F32" s="574">
        <f>SUMIF(93:93,E32,94:94)-SUMIF(93:93,C32,94:94)+100</f>
        <v>100</v>
      </c>
      <c r="G32" s="573" t="s">
        <v>3211</v>
      </c>
      <c r="H32" s="539">
        <f>SUMIF(93:93,G32,94:94)-SUMIF(93:93,C32,94:94)+100</f>
        <v>100</v>
      </c>
      <c r="I32" s="573" t="s">
        <v>3211</v>
      </c>
      <c r="J32" s="539">
        <f>SUMIF(93:93,I32,94:94)-SUMIF(93:93,C32,94:94)+100</f>
        <v>100</v>
      </c>
      <c r="K32" s="583"/>
      <c r="L32" s="2138"/>
      <c r="M32" s="2130"/>
      <c r="N32" s="2130"/>
      <c r="O32" s="2137"/>
      <c r="P32" s="3439" t="s">
        <v>550</v>
      </c>
      <c r="Q32" s="1569" t="str">
        <f t="shared" si="11"/>
        <v>车位类型</v>
      </c>
      <c r="R32" s="1570" t="s">
        <v>8</v>
      </c>
      <c r="S32" s="1571">
        <f t="shared" si="12"/>
        <v>100</v>
      </c>
      <c r="T32" s="1570" t="s">
        <v>8</v>
      </c>
      <c r="U32" s="1571">
        <f t="shared" si="13"/>
        <v>100</v>
      </c>
      <c r="V32" s="1570" t="s">
        <v>8</v>
      </c>
      <c r="W32" s="1571">
        <f t="shared" si="14"/>
        <v>100</v>
      </c>
      <c r="X32" s="1564"/>
      <c r="Y32" s="3439" t="s">
        <v>550</v>
      </c>
      <c r="Z32" s="1572" t="str">
        <f t="shared" si="15"/>
        <v>车位类型</v>
      </c>
      <c r="AA32" s="1573">
        <f t="shared" si="3"/>
        <v>1</v>
      </c>
      <c r="AB32" s="1573">
        <f t="shared" si="4"/>
        <v>1</v>
      </c>
      <c r="AC32" s="1573">
        <f t="shared" si="5"/>
        <v>1</v>
      </c>
    </row>
    <row r="33" spans="1:29" ht="15.75" thickBot="1">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9"/>
      <c r="Q33" s="1569" t="str">
        <f t="shared" si="11"/>
        <v>是否直接入户</v>
      </c>
      <c r="R33" s="1570" t="s">
        <v>8</v>
      </c>
      <c r="S33" s="1571">
        <f t="shared" si="12"/>
        <v>100</v>
      </c>
      <c r="T33" s="1570" t="s">
        <v>8</v>
      </c>
      <c r="U33" s="1571">
        <f t="shared" si="13"/>
        <v>100</v>
      </c>
      <c r="V33" s="1570" t="s">
        <v>8</v>
      </c>
      <c r="W33" s="1571">
        <f t="shared" si="14"/>
        <v>100</v>
      </c>
      <c r="X33" s="1564"/>
      <c r="Y33" s="3439"/>
      <c r="Z33" s="1572" t="str">
        <f t="shared" si="15"/>
        <v>是否直接入户</v>
      </c>
      <c r="AA33" s="1573">
        <f t="shared" si="3"/>
        <v>1</v>
      </c>
      <c r="AB33" s="1573">
        <f t="shared" si="4"/>
        <v>1</v>
      </c>
      <c r="AC33" s="1573">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s="1337"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9"/>
      <c r="Q35" s="1602">
        <f t="shared" si="11"/>
        <v>111</v>
      </c>
      <c r="R35" s="1574" t="s">
        <v>8</v>
      </c>
      <c r="S35" s="1575">
        <f t="shared" si="12"/>
        <v>100</v>
      </c>
      <c r="T35" s="1574" t="s">
        <v>8</v>
      </c>
      <c r="U35" s="1575">
        <f t="shared" si="13"/>
        <v>100</v>
      </c>
      <c r="V35" s="1574" t="s">
        <v>8</v>
      </c>
      <c r="W35" s="1575">
        <f t="shared" si="14"/>
        <v>100</v>
      </c>
      <c r="X35" s="1576"/>
      <c r="Y35" s="3439"/>
      <c r="Z35" s="1577">
        <f t="shared" si="15"/>
        <v>111</v>
      </c>
      <c r="AA35" s="1573">
        <f t="shared" si="3"/>
        <v>1</v>
      </c>
      <c r="AB35" s="1573">
        <f t="shared" si="4"/>
        <v>1</v>
      </c>
      <c r="AC35" s="1573">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9"/>
      <c r="Q36" s="1569">
        <f t="shared" si="11"/>
        <v>111</v>
      </c>
      <c r="R36" s="1570" t="s">
        <v>8</v>
      </c>
      <c r="S36" s="1571">
        <f t="shared" si="12"/>
        <v>100</v>
      </c>
      <c r="T36" s="1570" t="s">
        <v>8</v>
      </c>
      <c r="U36" s="1571">
        <f t="shared" si="13"/>
        <v>100</v>
      </c>
      <c r="V36" s="1570" t="s">
        <v>8</v>
      </c>
      <c r="W36" s="1571">
        <f t="shared" si="14"/>
        <v>100</v>
      </c>
      <c r="X36" s="1564"/>
      <c r="Y36" s="3439"/>
      <c r="Z36" s="1572">
        <f t="shared" si="15"/>
        <v>111</v>
      </c>
      <c r="AA36" s="1573">
        <f t="shared" si="3"/>
        <v>1</v>
      </c>
      <c r="AB36" s="1573">
        <f t="shared" si="4"/>
        <v>1</v>
      </c>
      <c r="AC36" s="1573">
        <f t="shared" si="5"/>
        <v>1</v>
      </c>
    </row>
    <row r="37" spans="1:29" ht="15">
      <c r="A37" s="1842" t="s">
        <v>2078</v>
      </c>
      <c r="B37" s="1843" t="s">
        <v>3205</v>
      </c>
      <c r="C37" s="2623" t="s">
        <v>1</v>
      </c>
      <c r="D37" s="2624"/>
      <c r="E37" s="2625">
        <v>360000</v>
      </c>
      <c r="F37" s="2626"/>
      <c r="G37" s="2627">
        <v>300000</v>
      </c>
      <c r="H37" s="2628"/>
      <c r="I37" s="2625">
        <v>350000</v>
      </c>
      <c r="J37" s="2628"/>
      <c r="K37" s="1608"/>
      <c r="L37" s="2140"/>
      <c r="M37" s="2141"/>
      <c r="N37" s="2130"/>
      <c r="O37" s="2141"/>
      <c r="P37" s="3401" t="str">
        <f>A37</f>
        <v>成交单价</v>
      </c>
      <c r="Q37" s="3401"/>
      <c r="R37" s="3517">
        <f>E37</f>
        <v>360000</v>
      </c>
      <c r="S37" s="3517"/>
      <c r="T37" s="3517">
        <f>G37</f>
        <v>300000</v>
      </c>
      <c r="U37" s="3517"/>
      <c r="V37" s="3517">
        <f>I37</f>
        <v>350000</v>
      </c>
      <c r="W37" s="3517"/>
      <c r="X37" s="1556"/>
      <c r="Y37" s="1578"/>
      <c r="Z37" s="1556"/>
      <c r="AA37" s="1556"/>
      <c r="AB37" s="1556"/>
      <c r="AC37" s="1556"/>
    </row>
    <row r="38" spans="1:29" ht="15.75" thickBot="1">
      <c r="A38" s="614" t="s">
        <v>2760</v>
      </c>
      <c r="B38" s="886"/>
      <c r="C38" s="2629">
        <f>R39</f>
        <v>351427</v>
      </c>
      <c r="D38" s="2630"/>
      <c r="E38" s="2631">
        <f>R38</f>
        <v>367347</v>
      </c>
      <c r="F38" s="2631"/>
      <c r="G38" s="2629">
        <f>T38</f>
        <v>318745</v>
      </c>
      <c r="H38" s="2630"/>
      <c r="I38" s="2631">
        <f>V38</f>
        <v>368189</v>
      </c>
      <c r="J38" s="2630"/>
      <c r="K38" s="1609"/>
      <c r="L38" s="2140"/>
      <c r="M38" s="2141"/>
      <c r="N38" s="2141"/>
      <c r="O38" s="2141"/>
      <c r="P38" s="3401" t="str">
        <f>A38</f>
        <v>比较价格（元/平方米）</v>
      </c>
      <c r="Q38" s="3401"/>
      <c r="R38" s="3517">
        <f>IF(F1="售价",ROUND(PRODUCT(R37,AA7:AA36),0),ROUND(PRODUCT(R37,AA7:AA36),1))</f>
        <v>367347</v>
      </c>
      <c r="S38" s="3517"/>
      <c r="T38" s="3517">
        <f>IF(F1="售价",ROUND(PRODUCT(T37,AB7:AB36),0),ROUND(PRODUCT(T37,AB7:AB36),1))</f>
        <v>318745</v>
      </c>
      <c r="U38" s="3517"/>
      <c r="V38" s="3517">
        <f>IF(F1="售价",ROUND(PRODUCT(V37,AC7:AC36),0),ROUND(PRODUCT(V37,AC7:AC36),1))</f>
        <v>368189</v>
      </c>
      <c r="W38" s="3517"/>
      <c r="X38" s="1556"/>
      <c r="Y38" s="1556"/>
      <c r="Z38" s="1556"/>
      <c r="AA38" s="1556"/>
      <c r="AB38" s="1556"/>
      <c r="AC38" s="1556"/>
    </row>
    <row r="39" spans="1:29" ht="15.75" thickBot="1">
      <c r="A39" s="620" t="s">
        <v>3292</v>
      </c>
      <c r="B39" s="621"/>
      <c r="C39" s="2632">
        <f>R39</f>
        <v>351427</v>
      </c>
      <c r="D39" s="2632"/>
      <c r="E39" s="2632"/>
      <c r="F39" s="2632"/>
      <c r="G39" s="2632"/>
      <c r="H39" s="2632"/>
      <c r="I39" s="2632"/>
      <c r="J39" s="2632"/>
      <c r="K39" s="1610"/>
      <c r="L39" s="2140"/>
      <c r="M39" s="2141"/>
      <c r="N39" s="2141"/>
      <c r="O39" s="2141"/>
      <c r="P39" s="3398" t="str">
        <f>A39</f>
        <v>估价对象XX用房的比较价格（楼面单价，元/平方米）</v>
      </c>
      <c r="Q39" s="3399"/>
      <c r="R39" s="3516">
        <f>IF(F1="售价",ROUND(AVERAGE(R38:V38),0),ROUND(AVERAGE(R38:V38),1))</f>
        <v>351427</v>
      </c>
      <c r="S39" s="3516"/>
      <c r="T39" s="3516"/>
      <c r="U39" s="3516"/>
      <c r="V39" s="3516"/>
      <c r="W39" s="3516"/>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557</v>
      </c>
      <c r="D42" s="624"/>
      <c r="E42" s="625">
        <f>IF(E37&lt;E38,E38/E37-1,E37/E38-1)</f>
        <v>2.0408333333333362E-2</v>
      </c>
      <c r="F42" s="626" t="str">
        <f>IF(OR(E42&gt;=0.3,E42&lt;=-0.3),"超过30%","")</f>
        <v/>
      </c>
      <c r="G42" s="625">
        <f>IF(G37&lt;G38,G38/G37-1,G37/G38-1)</f>
        <v>6.2483333333333224E-2</v>
      </c>
      <c r="H42" s="626" t="str">
        <f>IF(OR(G42&gt;=0.3,G42&lt;=-0.3),"超过30%","")</f>
        <v/>
      </c>
      <c r="I42" s="625">
        <f>IF(I37&lt;I38,I38/I37-1,I37/I38-1)</f>
        <v>5.1968571428571364E-2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558</v>
      </c>
      <c r="D43" s="627"/>
      <c r="E43" s="625">
        <f>IF(E38&lt;G38,G38/E38-1,E38/G38-1)</f>
        <v>0.15247925457654232</v>
      </c>
      <c r="F43" s="626" t="str">
        <f>IF(OR(E43&gt;=0.2,E43&lt;=-0.2),"超过20%","")</f>
        <v/>
      </c>
      <c r="G43" s="625">
        <f>IF(G38&lt;I38,I38/G38-1,G38/I38-1)</f>
        <v>0.15512086464101404</v>
      </c>
      <c r="H43" s="626" t="str">
        <f>IF(OR(G43&gt;=0.2,G43&lt;=-0.2),"超过20%","")</f>
        <v/>
      </c>
      <c r="I43" s="625">
        <f>IF(I38&lt;E38,E38/I38-1,I38/E38-1)</f>
        <v>2.2921107290927445E-3</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559</v>
      </c>
      <c r="D44" s="627"/>
      <c r="E44" s="625">
        <f>IF(E37&lt;G37,G37/E37-1,E37/G37-1)</f>
        <v>0.19999999999999996</v>
      </c>
      <c r="F44" s="626" t="str">
        <f>IF(OR(E44&gt;=0.3,E44&lt;=-0.3),"超过30%","")</f>
        <v/>
      </c>
      <c r="G44" s="625">
        <f>IF(G37&lt;I37,I37/G37-1,G37/I37-1)</f>
        <v>0.16666666666666674</v>
      </c>
      <c r="H44" s="626" t="str">
        <f>IF(OR(G44&gt;=0.3,G44&lt;=-0.3),"超过30%","")</f>
        <v/>
      </c>
      <c r="I44" s="625">
        <f>IF(I37&lt;E37,E37/I37-1,I37/E37-1)</f>
        <v>2.857142857142847E-2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529</v>
      </c>
      <c r="B48" s="645"/>
      <c r="C48" s="2798" t="str">
        <f>YEAR(C7)&amp;"-"&amp;MONTH(C7)</f>
        <v>2018-8</v>
      </c>
      <c r="D48" s="2800">
        <f>EDATE(C48,-1)</f>
        <v>43282</v>
      </c>
      <c r="E48" s="2800">
        <f t="shared" ref="E48:O48" si="16">EDATE(D48,-1)</f>
        <v>43252</v>
      </c>
      <c r="F48" s="2800">
        <f t="shared" si="16"/>
        <v>43221</v>
      </c>
      <c r="G48" s="2800">
        <f t="shared" si="16"/>
        <v>43191</v>
      </c>
      <c r="H48" s="2800">
        <f t="shared" si="16"/>
        <v>43160</v>
      </c>
      <c r="I48" s="2800">
        <f t="shared" si="16"/>
        <v>43132</v>
      </c>
      <c r="J48" s="2800">
        <f t="shared" si="16"/>
        <v>43101</v>
      </c>
      <c r="K48" s="2800">
        <f t="shared" si="16"/>
        <v>43070</v>
      </c>
      <c r="L48" s="2800">
        <f t="shared" si="16"/>
        <v>43040</v>
      </c>
      <c r="M48" s="2800">
        <f t="shared" si="16"/>
        <v>43009</v>
      </c>
      <c r="N48" s="2800">
        <f t="shared" si="16"/>
        <v>42979</v>
      </c>
      <c r="O48" s="2800">
        <f t="shared" si="16"/>
        <v>42948</v>
      </c>
      <c r="P48" s="2156"/>
      <c r="Q48" s="2157"/>
      <c r="R48" s="2157"/>
      <c r="S48" s="2157"/>
      <c r="T48" s="2157"/>
      <c r="U48" s="2157"/>
      <c r="V48" s="2157"/>
      <c r="W48" s="2157"/>
      <c r="X48" s="2157"/>
      <c r="Y48" s="2157"/>
      <c r="Z48" s="2157"/>
      <c r="AA48" s="2157"/>
      <c r="AB48" s="2157"/>
      <c r="AC48" s="2157"/>
    </row>
    <row r="49" spans="1:29" s="1218" customFormat="1" ht="15">
      <c r="A49" s="646"/>
      <c r="B49" s="647"/>
      <c r="C49" s="2799">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8" customFormat="1" ht="15.75" thickBot="1">
      <c r="A50" s="652" t="s">
        <v>575</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531</v>
      </c>
      <c r="B51" s="647"/>
      <c r="C51" s="659" t="s">
        <v>576</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577</v>
      </c>
      <c r="B53" s="664" t="s">
        <v>534</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3">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98</v>
      </c>
      <c r="E64" s="678">
        <f>D64-$K14</f>
        <v>96</v>
      </c>
      <c r="F64" s="678">
        <f>E64-$K14</f>
        <v>94</v>
      </c>
      <c r="G64" s="678">
        <f>F64-$K14</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579</v>
      </c>
      <c r="D65" s="707" t="s">
        <v>580</v>
      </c>
      <c r="E65" s="707" t="s">
        <v>581</v>
      </c>
      <c r="F65" s="707" t="s">
        <v>582</v>
      </c>
      <c r="G65" s="707" t="s">
        <v>583</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93" t="s">
        <v>2558</v>
      </c>
      <c r="C67" s="2594" t="s">
        <v>2559</v>
      </c>
      <c r="D67" s="2594" t="s">
        <v>2560</v>
      </c>
      <c r="E67" s="2594" t="s">
        <v>2561</v>
      </c>
      <c r="F67" s="2594" t="s">
        <v>2562</v>
      </c>
      <c r="G67" s="2594" t="s">
        <v>2563</v>
      </c>
      <c r="H67" s="673"/>
      <c r="I67" s="673"/>
      <c r="J67" s="673"/>
      <c r="K67" s="673"/>
      <c r="L67" s="673"/>
      <c r="M67" s="2597"/>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99</v>
      </c>
      <c r="E68" s="678">
        <f>D68-$K18</f>
        <v>98</v>
      </c>
      <c r="F68" s="678">
        <f>E68-$K18</f>
        <v>97</v>
      </c>
      <c r="G68" s="678">
        <f>F68-$K18</f>
        <v>96</v>
      </c>
      <c r="H68" s="933"/>
      <c r="I68" s="933"/>
      <c r="J68" s="933"/>
      <c r="K68" s="933"/>
      <c r="L68" s="933"/>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707" t="s">
        <v>579</v>
      </c>
      <c r="D69" s="707" t="s">
        <v>580</v>
      </c>
      <c r="E69" s="707" t="s">
        <v>581</v>
      </c>
      <c r="F69" s="707" t="s">
        <v>582</v>
      </c>
      <c r="G69" s="707" t="s">
        <v>583</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98</v>
      </c>
      <c r="E70" s="678">
        <f>D70-$K20</f>
        <v>96</v>
      </c>
      <c r="F70" s="678">
        <f>E70-$K20</f>
        <v>94</v>
      </c>
      <c r="G70" s="678">
        <f>F70-$K20</f>
        <v>92</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745</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89"/>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551</v>
      </c>
      <c r="B79" s="664" t="s">
        <v>814</v>
      </c>
      <c r="C79" s="703" t="str">
        <f>C26</f>
        <v>住宅</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99</v>
      </c>
      <c r="E80" s="678">
        <f t="shared" si="17"/>
        <v>98</v>
      </c>
      <c r="F80" s="678">
        <f t="shared" si="17"/>
        <v>97</v>
      </c>
      <c r="G80" s="678">
        <f t="shared" si="17"/>
        <v>96</v>
      </c>
      <c r="H80" s="678">
        <f t="shared" si="17"/>
        <v>95</v>
      </c>
      <c r="I80" s="678">
        <f t="shared" si="17"/>
        <v>94</v>
      </c>
      <c r="J80" s="678">
        <f t="shared" si="17"/>
        <v>93</v>
      </c>
      <c r="K80" s="678">
        <f t="shared" si="17"/>
        <v>92</v>
      </c>
      <c r="L80" s="678">
        <f t="shared" si="17"/>
        <v>91</v>
      </c>
      <c r="M80" s="679">
        <f t="shared" si="17"/>
        <v>90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751</v>
      </c>
      <c r="C83" s="3191" t="s">
        <v>3219</v>
      </c>
      <c r="D83" s="3191" t="s">
        <v>3220</v>
      </c>
      <c r="E83" s="3190" t="s">
        <v>3221</v>
      </c>
      <c r="F83" s="3190" t="s">
        <v>3222</v>
      </c>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103</v>
      </c>
      <c r="E87" s="678">
        <f t="shared" ref="E87:M87" si="19">D87+$K$29</f>
        <v>106</v>
      </c>
      <c r="F87" s="678">
        <f t="shared" si="19"/>
        <v>109</v>
      </c>
      <c r="G87" s="678">
        <f t="shared" si="19"/>
        <v>112</v>
      </c>
      <c r="H87" s="678">
        <f t="shared" si="19"/>
        <v>115</v>
      </c>
      <c r="I87" s="678">
        <f t="shared" si="19"/>
        <v>118</v>
      </c>
      <c r="J87" s="678">
        <f t="shared" si="19"/>
        <v>121</v>
      </c>
      <c r="K87" s="678">
        <f t="shared" si="19"/>
        <v>124</v>
      </c>
      <c r="L87" s="678">
        <f t="shared" si="19"/>
        <v>127</v>
      </c>
      <c r="M87" s="678">
        <f t="shared" si="19"/>
        <v>130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817</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818</v>
      </c>
      <c r="C90" s="707" t="str">
        <f>C91&amp;"(含)"&amp;"-"&amp;D91</f>
        <v>0(含)-20</v>
      </c>
      <c r="D90" s="707" t="str">
        <f t="shared" ref="D90:L90" si="21">D91&amp;"(含)"&amp;"-"&amp;E91</f>
        <v>20(含)-40</v>
      </c>
      <c r="E90" s="707" t="str">
        <f t="shared" si="21"/>
        <v>40(含)-60</v>
      </c>
      <c r="F90" s="707" t="str">
        <f t="shared" si="21"/>
        <v>60(含)-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20</v>
      </c>
      <c r="E91" s="729">
        <v>40</v>
      </c>
      <c r="F91" s="729">
        <v>60</v>
      </c>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819</v>
      </c>
      <c r="C93" s="3191" t="s">
        <v>3212</v>
      </c>
      <c r="D93" s="3191" t="s">
        <v>3213</v>
      </c>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820</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5">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3"/>
      <c r="G1" s="1598" t="s">
        <v>793</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794</v>
      </c>
      <c r="B2" s="849"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795</v>
      </c>
      <c r="B3" s="509" t="e">
        <f>C37</f>
        <v>#DIV/0!</v>
      </c>
      <c r="C3" s="851" t="s">
        <v>796</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797</v>
      </c>
      <c r="B4" s="512"/>
      <c r="C4" s="3407" t="s">
        <v>798</v>
      </c>
      <c r="D4" s="3408"/>
      <c r="E4" s="3446" t="s">
        <v>799</v>
      </c>
      <c r="F4" s="3447"/>
      <c r="G4" s="3407" t="s">
        <v>800</v>
      </c>
      <c r="H4" s="3408"/>
      <c r="I4" s="3407" t="s">
        <v>801</v>
      </c>
      <c r="J4" s="3408"/>
      <c r="K4" s="513" t="s">
        <v>802</v>
      </c>
      <c r="L4" s="2129"/>
      <c r="M4" s="2130"/>
      <c r="N4" s="2130"/>
      <c r="O4" s="2130"/>
      <c r="P4" s="3409" t="s">
        <v>803</v>
      </c>
      <c r="Q4" s="3410"/>
      <c r="R4" s="3415" t="s">
        <v>799</v>
      </c>
      <c r="S4" s="3416"/>
      <c r="T4" s="3415" t="s">
        <v>800</v>
      </c>
      <c r="U4" s="3416"/>
      <c r="V4" s="3402" t="s">
        <v>801</v>
      </c>
      <c r="W4" s="3402"/>
      <c r="X4" s="1564"/>
      <c r="Y4" s="3415" t="s">
        <v>803</v>
      </c>
      <c r="Z4" s="3416"/>
      <c r="AA4" s="3404" t="s">
        <v>799</v>
      </c>
      <c r="AB4" s="3405" t="s">
        <v>800</v>
      </c>
      <c r="AC4" s="3404" t="s">
        <v>801</v>
      </c>
    </row>
    <row r="5" spans="1:29" ht="15">
      <c r="A5" s="514"/>
      <c r="B5" s="515"/>
      <c r="C5" s="3440" t="s">
        <v>2918</v>
      </c>
      <c r="D5" s="3441"/>
      <c r="E5" s="3448" t="s">
        <v>2919</v>
      </c>
      <c r="F5" s="3449"/>
      <c r="G5" s="3440" t="s">
        <v>2920</v>
      </c>
      <c r="H5" s="3441"/>
      <c r="I5" s="3440" t="s">
        <v>2921</v>
      </c>
      <c r="J5" s="3441"/>
      <c r="K5" s="513"/>
      <c r="L5" s="2129"/>
      <c r="M5" s="2130"/>
      <c r="N5" s="2130"/>
      <c r="O5" s="2130"/>
      <c r="P5" s="3411"/>
      <c r="Q5" s="3412"/>
      <c r="R5" s="3417"/>
      <c r="S5" s="3418"/>
      <c r="T5" s="3417"/>
      <c r="U5" s="3418"/>
      <c r="V5" s="3402"/>
      <c r="W5" s="3402"/>
      <c r="X5" s="1564"/>
      <c r="Y5" s="3417"/>
      <c r="Z5" s="3418"/>
      <c r="AA5" s="3405"/>
      <c r="AB5" s="3405"/>
      <c r="AC5" s="3405"/>
    </row>
    <row r="6" spans="1:29" ht="15.75" thickBot="1">
      <c r="A6" s="516"/>
      <c r="B6" s="517"/>
      <c r="C6" s="3442" t="s">
        <v>2922</v>
      </c>
      <c r="D6" s="3443"/>
      <c r="E6" s="3444" t="s">
        <v>2922</v>
      </c>
      <c r="F6" s="3445"/>
      <c r="G6" s="3442" t="s">
        <v>2922</v>
      </c>
      <c r="H6" s="3443"/>
      <c r="I6" s="3442" t="s">
        <v>2922</v>
      </c>
      <c r="J6" s="3443"/>
      <c r="K6" s="513" t="s">
        <v>528</v>
      </c>
      <c r="L6" s="2129"/>
      <c r="M6" s="2130"/>
      <c r="N6" s="2130"/>
      <c r="O6" s="2130"/>
      <c r="P6" s="3413"/>
      <c r="Q6" s="3414"/>
      <c r="R6" s="3417"/>
      <c r="S6" s="3418"/>
      <c r="T6" s="3419"/>
      <c r="U6" s="3420"/>
      <c r="V6" s="3402"/>
      <c r="W6" s="3402"/>
      <c r="X6" s="1564"/>
      <c r="Y6" s="3419"/>
      <c r="Z6" s="3420"/>
      <c r="AA6" s="3406"/>
      <c r="AB6" s="3406"/>
      <c r="AC6" s="3406"/>
    </row>
    <row r="7" spans="1:29" s="1218" customFormat="1" ht="15.75" thickBot="1">
      <c r="A7" s="2908"/>
      <c r="B7" s="2915" t="s">
        <v>529</v>
      </c>
      <c r="C7" s="518">
        <f>'数据-取费表'!B2</f>
        <v>43328</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33" t="s">
        <v>530</v>
      </c>
      <c r="Q7" s="3435"/>
      <c r="R7" s="1565" t="s">
        <v>8</v>
      </c>
      <c r="S7" s="1566">
        <f t="shared" ref="S7:S14" si="0">F7</f>
        <v>0</v>
      </c>
      <c r="T7" s="1565" t="s">
        <v>8</v>
      </c>
      <c r="U7" s="1566">
        <f t="shared" ref="U7:U14" si="1">H7</f>
        <v>0</v>
      </c>
      <c r="V7" s="1565" t="s">
        <v>8</v>
      </c>
      <c r="W7" s="1566">
        <f t="shared" ref="W7:W14" si="2">J7</f>
        <v>0</v>
      </c>
      <c r="X7" s="1567"/>
      <c r="Y7" s="3433" t="s">
        <v>530</v>
      </c>
      <c r="Z7" s="3434"/>
      <c r="AA7" s="1568" t="e">
        <f>D7/F7</f>
        <v>#DIV/0!</v>
      </c>
      <c r="AB7" s="1568" t="e">
        <f>D7/H7</f>
        <v>#DIV/0!</v>
      </c>
      <c r="AC7" s="1568" t="e">
        <f>D7/J7</f>
        <v>#DIV/0!</v>
      </c>
    </row>
    <row r="8" spans="1:29" s="1218" customFormat="1" ht="15.75" thickBot="1">
      <c r="A8" s="2909"/>
      <c r="B8" s="2916" t="s">
        <v>531</v>
      </c>
      <c r="C8" s="524" t="s">
        <v>576</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33" t="s">
        <v>533</v>
      </c>
      <c r="Q8" s="3434"/>
      <c r="R8" s="1565" t="s">
        <v>8</v>
      </c>
      <c r="S8" s="1566">
        <f t="shared" si="0"/>
        <v>0</v>
      </c>
      <c r="T8" s="1565" t="s">
        <v>8</v>
      </c>
      <c r="U8" s="1566">
        <f t="shared" si="1"/>
        <v>0</v>
      </c>
      <c r="V8" s="1565" t="s">
        <v>8</v>
      </c>
      <c r="W8" s="1566">
        <f t="shared" si="2"/>
        <v>0</v>
      </c>
      <c r="X8" s="1567"/>
      <c r="Y8" s="3433" t="s">
        <v>533</v>
      </c>
      <c r="Z8" s="3434"/>
      <c r="AA8" s="1568" t="e">
        <f t="shared" ref="AA8:AA34" si="3">D8/F8</f>
        <v>#DIV/0!</v>
      </c>
      <c r="AB8" s="1568" t="e">
        <f t="shared" ref="AB8:AB34" si="4">D8/H8</f>
        <v>#DIV/0!</v>
      </c>
      <c r="AC8" s="1568" t="e">
        <f t="shared" ref="AC8:AC34" si="5">D8/J8</f>
        <v>#DIV/0!</v>
      </c>
    </row>
    <row r="9" spans="1:29" s="1218" customFormat="1" ht="15">
      <c r="A9" s="2910"/>
      <c r="B9" s="2917"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401" t="s">
        <v>535</v>
      </c>
      <c r="Q9" s="1149" t="str">
        <f t="shared" ref="Q9:Q14" si="6">B9</f>
        <v>用途</v>
      </c>
      <c r="R9" s="1565" t="s">
        <v>8</v>
      </c>
      <c r="S9" s="1566">
        <f t="shared" si="0"/>
        <v>100</v>
      </c>
      <c r="T9" s="1565" t="s">
        <v>8</v>
      </c>
      <c r="U9" s="1566">
        <f t="shared" si="1"/>
        <v>100</v>
      </c>
      <c r="V9" s="1565" t="s">
        <v>8</v>
      </c>
      <c r="W9" s="1566">
        <f t="shared" si="2"/>
        <v>100</v>
      </c>
      <c r="X9" s="1567"/>
      <c r="Y9" s="3343" t="s">
        <v>536</v>
      </c>
      <c r="Z9" s="1148" t="str">
        <f t="shared" ref="Z9:Z14" si="7">Q9</f>
        <v>用途</v>
      </c>
      <c r="AA9" s="1568">
        <f t="shared" si="3"/>
        <v>1</v>
      </c>
      <c r="AB9" s="1568">
        <f t="shared" si="4"/>
        <v>1</v>
      </c>
      <c r="AC9" s="1568">
        <f t="shared" si="5"/>
        <v>1</v>
      </c>
    </row>
    <row r="10" spans="1:29" s="1336" customFormat="1" ht="27">
      <c r="A10" s="2911"/>
      <c r="B10" s="2916"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401"/>
      <c r="Q10" s="1149" t="str">
        <f t="shared" si="6"/>
        <v>土地使用年限（年）</v>
      </c>
      <c r="R10" s="1565" t="s">
        <v>8</v>
      </c>
      <c r="S10" s="1566">
        <f t="shared" si="0"/>
        <v>100</v>
      </c>
      <c r="T10" s="1565" t="s">
        <v>8</v>
      </c>
      <c r="U10" s="1566">
        <f t="shared" si="1"/>
        <v>100</v>
      </c>
      <c r="V10" s="1565" t="s">
        <v>8</v>
      </c>
      <c r="W10" s="1566">
        <f t="shared" si="2"/>
        <v>100</v>
      </c>
      <c r="X10" s="1567"/>
      <c r="Y10" s="3343"/>
      <c r="Z10" s="1148" t="str">
        <f t="shared" si="7"/>
        <v>土地使用年限（年）</v>
      </c>
      <c r="AA10" s="1568">
        <f t="shared" si="3"/>
        <v>1</v>
      </c>
      <c r="AB10" s="1568">
        <f t="shared" si="4"/>
        <v>1</v>
      </c>
      <c r="AC10" s="1568">
        <f t="shared" si="5"/>
        <v>1</v>
      </c>
    </row>
    <row r="11" spans="1:29" ht="15">
      <c r="A11" s="2913"/>
      <c r="B11" s="2919">
        <v>111</v>
      </c>
      <c r="C11" s="527"/>
      <c r="D11" s="254">
        <v>100</v>
      </c>
      <c r="E11" s="878"/>
      <c r="F11" s="254">
        <f>SUMIF(55:55,E11,56:56)-SUMIF(55:55,C11,56:56)+100</f>
        <v>100</v>
      </c>
      <c r="G11" s="878"/>
      <c r="H11" s="254">
        <f>SUMIF(55:55,G11,56:56)-SUMIF(55:55,C11,56:56)+100</f>
        <v>100</v>
      </c>
      <c r="I11" s="878"/>
      <c r="J11" s="254">
        <f>SUMIF(55:55,I11,56:56)-SUMIF(55:55,C11,56:56)+100</f>
        <v>100</v>
      </c>
      <c r="K11" s="580"/>
      <c r="L11" s="2136"/>
      <c r="M11" s="2130"/>
      <c r="N11" s="2130"/>
      <c r="O11" s="2137"/>
      <c r="P11" s="3401"/>
      <c r="Q11" s="1149">
        <f t="shared" si="6"/>
        <v>111</v>
      </c>
      <c r="R11" s="1565" t="s">
        <v>8</v>
      </c>
      <c r="S11" s="1566">
        <f t="shared" si="0"/>
        <v>100</v>
      </c>
      <c r="T11" s="1565" t="s">
        <v>8</v>
      </c>
      <c r="U11" s="1566">
        <f t="shared" si="1"/>
        <v>100</v>
      </c>
      <c r="V11" s="1565" t="s">
        <v>8</v>
      </c>
      <c r="W11" s="1566">
        <f t="shared" si="2"/>
        <v>100</v>
      </c>
      <c r="X11" s="1567"/>
      <c r="Y11" s="3343"/>
      <c r="Z11" s="1148">
        <f t="shared" si="7"/>
        <v>111</v>
      </c>
      <c r="AA11" s="1568">
        <f t="shared" si="3"/>
        <v>1</v>
      </c>
      <c r="AB11" s="1568">
        <f t="shared" si="4"/>
        <v>1</v>
      </c>
      <c r="AC11" s="1568">
        <f t="shared" si="5"/>
        <v>1</v>
      </c>
    </row>
    <row r="12" spans="1:29" s="1218" customFormat="1" ht="15">
      <c r="A12" s="2913"/>
      <c r="B12" s="2919">
        <v>111</v>
      </c>
      <c r="C12" s="527"/>
      <c r="D12" s="537">
        <v>100</v>
      </c>
      <c r="E12" s="878"/>
      <c r="F12" s="254">
        <f>SUMIF(57:57,E12,58:58)-SUMIF(57:57,C12,58:58)+100</f>
        <v>100</v>
      </c>
      <c r="G12" s="878"/>
      <c r="H12" s="254">
        <f>SUMIF(57:57,G12,58:58)-SUMIF(57:57,C12,58:58)+100</f>
        <v>100</v>
      </c>
      <c r="I12" s="878"/>
      <c r="J12" s="254">
        <f>SUMIF(57:57,I12,58:58)-SUMIF(57:57,C12,58:58)+100</f>
        <v>100</v>
      </c>
      <c r="K12" s="580"/>
      <c r="L12" s="2131"/>
      <c r="M12" s="2132"/>
      <c r="N12" s="2132"/>
      <c r="O12" s="2133"/>
      <c r="P12" s="3401"/>
      <c r="Q12" s="1149">
        <f t="shared" si="6"/>
        <v>111</v>
      </c>
      <c r="R12" s="1565" t="s">
        <v>8</v>
      </c>
      <c r="S12" s="1566">
        <f t="shared" si="0"/>
        <v>100</v>
      </c>
      <c r="T12" s="1565" t="s">
        <v>8</v>
      </c>
      <c r="U12" s="1566">
        <f t="shared" si="1"/>
        <v>100</v>
      </c>
      <c r="V12" s="1565" t="s">
        <v>8</v>
      </c>
      <c r="W12" s="1566">
        <f t="shared" si="2"/>
        <v>100</v>
      </c>
      <c r="X12" s="1567"/>
      <c r="Y12" s="3343"/>
      <c r="Z12" s="1148">
        <f t="shared" si="7"/>
        <v>111</v>
      </c>
      <c r="AA12" s="1568">
        <f>D12/F12</f>
        <v>1</v>
      </c>
      <c r="AB12" s="1568">
        <f>D12/H12</f>
        <v>1</v>
      </c>
      <c r="AC12" s="1568">
        <f>D12/J12</f>
        <v>1</v>
      </c>
    </row>
    <row r="13" spans="1:29" ht="15.75" thickBot="1">
      <c r="A13" s="2914"/>
      <c r="B13" s="2920">
        <v>111</v>
      </c>
      <c r="C13" s="538"/>
      <c r="D13" s="539">
        <v>100</v>
      </c>
      <c r="E13" s="878"/>
      <c r="F13" s="254">
        <f>SUMIF(59:59,E13,60:60)-SUMIF(59:59,C13,60:60)+100</f>
        <v>100</v>
      </c>
      <c r="G13" s="878"/>
      <c r="H13" s="539">
        <f>SUMIF(59:59,G13,60:60)-SUMIF(59:59,C13,60:60)+100</f>
        <v>100</v>
      </c>
      <c r="I13" s="878"/>
      <c r="J13" s="539">
        <f>SUMIF(59:59,I13,60:60)-SUMIF(59:59,C13,60:60)+100</f>
        <v>100</v>
      </c>
      <c r="K13" s="580"/>
      <c r="L13" s="2138"/>
      <c r="M13" s="2130"/>
      <c r="N13" s="2130"/>
      <c r="O13" s="2137"/>
      <c r="P13" s="3401"/>
      <c r="Q13" s="1149">
        <f t="shared" si="6"/>
        <v>111</v>
      </c>
      <c r="R13" s="1565" t="s">
        <v>8</v>
      </c>
      <c r="S13" s="1566">
        <f t="shared" si="0"/>
        <v>100</v>
      </c>
      <c r="T13" s="1565" t="s">
        <v>8</v>
      </c>
      <c r="U13" s="1566">
        <f t="shared" si="1"/>
        <v>100</v>
      </c>
      <c r="V13" s="1565" t="s">
        <v>8</v>
      </c>
      <c r="W13" s="1566">
        <f t="shared" si="2"/>
        <v>100</v>
      </c>
      <c r="X13" s="1567"/>
      <c r="Y13" s="3343"/>
      <c r="Z13" s="1148">
        <f t="shared" si="7"/>
        <v>111</v>
      </c>
      <c r="AA13" s="1568">
        <f t="shared" si="3"/>
        <v>1</v>
      </c>
      <c r="AB13" s="1568">
        <f t="shared" si="4"/>
        <v>1</v>
      </c>
      <c r="AC13" s="1568">
        <f t="shared" si="5"/>
        <v>1</v>
      </c>
    </row>
    <row r="14" spans="1:29" ht="128.25">
      <c r="A14" s="2906" t="s">
        <v>2754</v>
      </c>
      <c r="B14" s="166" t="s">
        <v>543</v>
      </c>
      <c r="C14" s="919" t="str">
        <f>IF(B1="工业",估价对象房地状况!G4,估价对象房地状况!C6)</f>
        <v>估价对象周边道路密集程度较好、公共交通通达情况较好、有7、8、19等公共交通，停车便捷程度较好，综合评价交通便捷度较好。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8"/>
      <c r="M14" s="2130"/>
      <c r="N14" s="2130"/>
      <c r="O14" s="2137"/>
      <c r="P14" s="3436" t="s">
        <v>540</v>
      </c>
      <c r="Q14" s="1569" t="str">
        <f t="shared" si="6"/>
        <v>交通便捷度</v>
      </c>
      <c r="R14" s="1570" t="s">
        <v>8</v>
      </c>
      <c r="S14" s="1571">
        <f t="shared" si="0"/>
        <v>100</v>
      </c>
      <c r="T14" s="1570" t="s">
        <v>8</v>
      </c>
      <c r="U14" s="1571">
        <f t="shared" si="1"/>
        <v>100</v>
      </c>
      <c r="V14" s="1570" t="s">
        <v>8</v>
      </c>
      <c r="W14" s="1571">
        <f t="shared" si="2"/>
        <v>100</v>
      </c>
      <c r="X14" s="1564"/>
      <c r="Y14" s="3436" t="s">
        <v>540</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7"/>
      <c r="L15" s="2138"/>
      <c r="M15" s="2130"/>
      <c r="N15" s="2130"/>
      <c r="O15" s="2137"/>
      <c r="P15" s="3437"/>
      <c r="Q15" s="1569"/>
      <c r="R15" s="1570"/>
      <c r="S15" s="1571"/>
      <c r="T15" s="1570"/>
      <c r="U15" s="1571"/>
      <c r="V15" s="1570"/>
      <c r="W15" s="1571"/>
      <c r="X15" s="1564"/>
      <c r="Y15" s="3437"/>
      <c r="Z15" s="1572"/>
      <c r="AA15" s="1573">
        <v>1</v>
      </c>
      <c r="AB15" s="1573">
        <v>1</v>
      </c>
      <c r="AC15" s="1573">
        <v>1</v>
      </c>
    </row>
    <row r="16" spans="1:29" ht="228">
      <c r="A16" s="531"/>
      <c r="B16" s="2599" t="s">
        <v>2546</v>
      </c>
      <c r="C16" s="871" t="str">
        <f>IF(B1="工业",估价对象房地状况!G5,估价对象房地状况!C7)</f>
        <v>估价对象所在区域2公里范围内有：银行（邮政银行、中国银行），购物（正大广场购物中心、华翔超市），医院（福州市妇幼保健院、福州第六医院），学校（福州市鼓楼第五中心小学、闽江学院附属中学）等，公共配套设施齐备情况好。</v>
      </c>
      <c r="D16" s="564">
        <v>100</v>
      </c>
      <c r="E16" s="569"/>
      <c r="F16" s="570">
        <f>SUMIF(63:63,E17,64:64)-SUMIF(63:63,C17,64:64)+100</f>
        <v>100</v>
      </c>
      <c r="G16" s="571"/>
      <c r="H16" s="564">
        <f>SUMIF(63:63,G17,64:64)-SUMIF(63:63,C17,64:64)+100</f>
        <v>100</v>
      </c>
      <c r="I16" s="569"/>
      <c r="J16" s="564">
        <f>SUMIF(63:63,I17,64:64)-SUMIF(63:63,C17,64:64)+100</f>
        <v>100</v>
      </c>
      <c r="K16" s="896"/>
      <c r="L16" s="2138"/>
      <c r="M16" s="2130"/>
      <c r="N16" s="2130"/>
      <c r="O16" s="2137"/>
      <c r="P16" s="3437"/>
      <c r="Q16" s="1569" t="str">
        <f>B16</f>
        <v>公共配套设施</v>
      </c>
      <c r="R16" s="1570" t="s">
        <v>8</v>
      </c>
      <c r="S16" s="1571">
        <f>F16</f>
        <v>100</v>
      </c>
      <c r="T16" s="1570" t="s">
        <v>8</v>
      </c>
      <c r="U16" s="1571">
        <f>H16</f>
        <v>100</v>
      </c>
      <c r="V16" s="1570" t="s">
        <v>8</v>
      </c>
      <c r="W16" s="1571">
        <f>J16</f>
        <v>100</v>
      </c>
      <c r="X16" s="1564"/>
      <c r="Y16" s="343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7"/>
      <c r="L17" s="2138"/>
      <c r="M17" s="2130"/>
      <c r="N17" s="2130"/>
      <c r="O17" s="2137"/>
      <c r="P17" s="3437"/>
      <c r="Q17" s="1569"/>
      <c r="R17" s="1570"/>
      <c r="S17" s="1571"/>
      <c r="T17" s="1570"/>
      <c r="U17" s="1571"/>
      <c r="V17" s="1570"/>
      <c r="W17" s="1571"/>
      <c r="X17" s="1564"/>
      <c r="Y17" s="3437"/>
      <c r="Z17" s="1572"/>
      <c r="AA17" s="1573">
        <v>1</v>
      </c>
      <c r="AB17" s="1573">
        <v>1</v>
      </c>
      <c r="AC17" s="1573">
        <v>1</v>
      </c>
    </row>
    <row r="18" spans="1:29" ht="42.75">
      <c r="A18" s="531"/>
      <c r="B18" s="2587" t="s">
        <v>2558</v>
      </c>
      <c r="C18" s="871" t="str">
        <f>IF(B1="工业",估价对象房地状况!G6,估价对象房地状况!C8)</f>
        <v>估价对象所在区域基础设施水平达到“六通”。</v>
      </c>
      <c r="D18" s="558">
        <v>100</v>
      </c>
      <c r="E18" s="561"/>
      <c r="F18" s="562">
        <f>SUMIF(65:65,E19,66:66)-SUMIF(65:65,C19,66:66)+100</f>
        <v>100</v>
      </c>
      <c r="G18" s="563"/>
      <c r="H18" s="564">
        <f>SUMIF(65:65,G19,66:66)-SUMIF(65:65,C19,66:66)+100</f>
        <v>100</v>
      </c>
      <c r="I18" s="569"/>
      <c r="J18" s="564">
        <f>SUMIF(65:65,I19,66:66)-SUMIF(65:65,C19,66:66)+100</f>
        <v>100</v>
      </c>
      <c r="K18" s="896"/>
      <c r="L18" s="2138"/>
      <c r="M18" s="2130"/>
      <c r="N18" s="2130"/>
      <c r="O18" s="2137"/>
      <c r="P18" s="3437"/>
      <c r="Q18" s="2575" t="str">
        <f>B18</f>
        <v>基础设施水平</v>
      </c>
      <c r="R18" s="1570" t="s">
        <v>8</v>
      </c>
      <c r="S18" s="1571">
        <f>F18</f>
        <v>100</v>
      </c>
      <c r="T18" s="1570" t="s">
        <v>8</v>
      </c>
      <c r="U18" s="1571">
        <f>H18</f>
        <v>100</v>
      </c>
      <c r="V18" s="1570" t="s">
        <v>8</v>
      </c>
      <c r="W18" s="1571">
        <f>J18</f>
        <v>100</v>
      </c>
      <c r="X18" s="2577"/>
      <c r="Y18" s="3437"/>
      <c r="Z18" s="257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98"/>
      <c r="L19" s="2138"/>
      <c r="M19" s="2130"/>
      <c r="N19" s="2130"/>
      <c r="O19" s="2137"/>
      <c r="P19" s="3437"/>
      <c r="Q19" s="2575"/>
      <c r="R19" s="1570"/>
      <c r="S19" s="1571"/>
      <c r="T19" s="1570"/>
      <c r="U19" s="1571"/>
      <c r="V19" s="1570"/>
      <c r="W19" s="1571"/>
      <c r="X19" s="2577"/>
      <c r="Y19" s="3437"/>
      <c r="Z19" s="2576"/>
      <c r="AA19" s="1573">
        <v>1</v>
      </c>
      <c r="AB19" s="1573">
        <v>1</v>
      </c>
      <c r="AC19" s="1573">
        <v>1</v>
      </c>
    </row>
    <row r="20" spans="1:29" ht="99.75">
      <c r="A20" s="531"/>
      <c r="B20" s="870" t="s">
        <v>804</v>
      </c>
      <c r="C20" s="871" t="str">
        <f>IF(B1="工业",估价对象房地状况!G7,估价对象房地状况!C9)</f>
        <v>区域自然环境：爱民园、于山风景区等；人文环境：孝悌图书馆、福建大剧院；综合评价环境状况较好。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8"/>
      <c r="M20" s="2130"/>
      <c r="N20" s="2130"/>
      <c r="O20" s="2137"/>
      <c r="P20" s="3437"/>
      <c r="Q20" s="1569" t="str">
        <f>B20</f>
        <v>自然及人文环境</v>
      </c>
      <c r="R20" s="1570" t="s">
        <v>8</v>
      </c>
      <c r="S20" s="1571">
        <f>F20</f>
        <v>100</v>
      </c>
      <c r="T20" s="1570" t="s">
        <v>8</v>
      </c>
      <c r="U20" s="1571">
        <f>H20</f>
        <v>100</v>
      </c>
      <c r="V20" s="1570" t="s">
        <v>8</v>
      </c>
      <c r="W20" s="1571">
        <f>J20</f>
        <v>100</v>
      </c>
      <c r="X20" s="1564"/>
      <c r="Y20" s="343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7"/>
      <c r="L21" s="2138"/>
      <c r="M21" s="2130"/>
      <c r="N21" s="2130"/>
      <c r="O21" s="2137"/>
      <c r="P21" s="3437"/>
      <c r="Q21" s="1569"/>
      <c r="R21" s="1570"/>
      <c r="S21" s="1571"/>
      <c r="T21" s="1570"/>
      <c r="U21" s="1571"/>
      <c r="V21" s="1570"/>
      <c r="W21" s="1571"/>
      <c r="X21" s="1564"/>
      <c r="Y21" s="3437"/>
      <c r="Z21" s="1572"/>
      <c r="AA21" s="1573">
        <v>1</v>
      </c>
      <c r="AB21" s="1573">
        <v>1</v>
      </c>
      <c r="AC21" s="1573">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7"/>
      <c r="Q24" s="1569">
        <f t="shared" ref="Q24:Q34"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1"/>
      <c r="M25" s="2132"/>
      <c r="N25" s="2132"/>
      <c r="O25" s="2133"/>
      <c r="P25" s="3437"/>
      <c r="Q25" s="1149">
        <f t="shared" si="11"/>
        <v>111</v>
      </c>
      <c r="R25" s="1565" t="s">
        <v>8</v>
      </c>
      <c r="S25" s="1566">
        <f>F25</f>
        <v>100</v>
      </c>
      <c r="T25" s="1565" t="s">
        <v>8</v>
      </c>
      <c r="U25" s="1566">
        <f>H25</f>
        <v>100</v>
      </c>
      <c r="V25" s="1565" t="s">
        <v>8</v>
      </c>
      <c r="W25" s="1566">
        <f>J25</f>
        <v>100</v>
      </c>
      <c r="X25" s="1567"/>
      <c r="Y25" s="3437"/>
      <c r="Z25" s="1148">
        <f>Q25</f>
        <v>111</v>
      </c>
      <c r="AA25" s="1573">
        <f>D25/F25</f>
        <v>1</v>
      </c>
      <c r="AB25" s="1573">
        <f>D25/H25</f>
        <v>1</v>
      </c>
      <c r="AC25" s="1573">
        <f>D25/J25</f>
        <v>1</v>
      </c>
    </row>
    <row r="26" spans="1:29" ht="15">
      <c r="A26" s="2903"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38"/>
      <c r="M26" s="2130"/>
      <c r="N26" s="2130"/>
      <c r="O26" s="2137"/>
      <c r="P26" s="343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9" t="s">
        <v>821</v>
      </c>
      <c r="Z26" s="1572" t="str">
        <f t="shared" ref="Z26:Z34" si="15">Q26</f>
        <v>公共部分装修</v>
      </c>
      <c r="AA26" s="1573">
        <f t="shared" si="3"/>
        <v>1</v>
      </c>
      <c r="AB26" s="1573">
        <f t="shared" si="4"/>
        <v>1</v>
      </c>
      <c r="AC26" s="1573">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6"/>
      <c r="M27" s="2167"/>
      <c r="N27" s="2167"/>
      <c r="O27" s="2139"/>
      <c r="P27" s="3439"/>
      <c r="Q27" s="1602" t="str">
        <f t="shared" si="11"/>
        <v>成新率</v>
      </c>
      <c r="R27" s="1574" t="s">
        <v>8</v>
      </c>
      <c r="S27" s="1575" t="e">
        <f t="shared" si="12"/>
        <v>#N/A</v>
      </c>
      <c r="T27" s="1574" t="s">
        <v>8</v>
      </c>
      <c r="U27" s="1575" t="e">
        <f t="shared" si="13"/>
        <v>#N/A</v>
      </c>
      <c r="V27" s="1574" t="s">
        <v>8</v>
      </c>
      <c r="W27" s="1575" t="e">
        <f t="shared" si="14"/>
        <v>#N/A</v>
      </c>
      <c r="X27" s="1576"/>
      <c r="Y27" s="3439"/>
      <c r="Z27" s="1577" t="str">
        <f t="shared" si="15"/>
        <v>成新率</v>
      </c>
      <c r="AA27" s="1573" t="e">
        <f t="shared" si="3"/>
        <v>#N/A</v>
      </c>
      <c r="AB27" s="1573" t="e">
        <f t="shared" si="4"/>
        <v>#N/A</v>
      </c>
      <c r="AC27" s="1573"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9"/>
      <c r="Q28" s="1569" t="str">
        <f t="shared" si="11"/>
        <v>物业等级</v>
      </c>
      <c r="R28" s="1570" t="s">
        <v>8</v>
      </c>
      <c r="S28" s="1571">
        <f t="shared" si="12"/>
        <v>100</v>
      </c>
      <c r="T28" s="1570" t="s">
        <v>8</v>
      </c>
      <c r="U28" s="1571">
        <f t="shared" si="13"/>
        <v>100</v>
      </c>
      <c r="V28" s="1570" t="s">
        <v>8</v>
      </c>
      <c r="W28" s="1571">
        <f t="shared" si="14"/>
        <v>100</v>
      </c>
      <c r="X28" s="1564"/>
      <c r="Y28" s="3439"/>
      <c r="Z28" s="1572" t="str">
        <f t="shared" si="15"/>
        <v>物业等级</v>
      </c>
      <c r="AA28" s="1573">
        <f t="shared" si="3"/>
        <v>1</v>
      </c>
      <c r="AB28" s="1573">
        <f t="shared" si="4"/>
        <v>1</v>
      </c>
      <c r="AC28" s="1573">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38"/>
      <c r="M29" s="2130"/>
      <c r="N29" s="2130"/>
      <c r="O29" s="2137"/>
      <c r="P29" s="3439"/>
      <c r="Q29" s="1569" t="str">
        <f t="shared" si="11"/>
        <v>有无电梯</v>
      </c>
      <c r="R29" s="1570" t="s">
        <v>8</v>
      </c>
      <c r="S29" s="1571">
        <f t="shared" si="12"/>
        <v>100</v>
      </c>
      <c r="T29" s="1570" t="s">
        <v>8</v>
      </c>
      <c r="U29" s="1571">
        <f t="shared" si="13"/>
        <v>100</v>
      </c>
      <c r="V29" s="1570" t="s">
        <v>8</v>
      </c>
      <c r="W29" s="1571">
        <f t="shared" si="14"/>
        <v>100</v>
      </c>
      <c r="X29" s="1564"/>
      <c r="Y29" s="3439"/>
      <c r="Z29" s="1572" t="str">
        <f t="shared" si="15"/>
        <v>有无电梯</v>
      </c>
      <c r="AA29" s="1573">
        <f t="shared" si="3"/>
        <v>1</v>
      </c>
      <c r="AB29" s="1573">
        <f t="shared" si="4"/>
        <v>1</v>
      </c>
      <c r="AC29" s="1573">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8"/>
      <c r="M30" s="2130"/>
      <c r="N30" s="2130"/>
      <c r="O30" s="2137"/>
      <c r="P30" s="3439"/>
      <c r="Q30" s="1569" t="str">
        <f t="shared" si="11"/>
        <v>建筑面积</v>
      </c>
      <c r="R30" s="1570" t="s">
        <v>8</v>
      </c>
      <c r="S30" s="1571" t="e">
        <f t="shared" si="12"/>
        <v>#N/A</v>
      </c>
      <c r="T30" s="1570" t="s">
        <v>8</v>
      </c>
      <c r="U30" s="1571" t="e">
        <f t="shared" si="13"/>
        <v>#N/A</v>
      </c>
      <c r="V30" s="1570" t="s">
        <v>8</v>
      </c>
      <c r="W30" s="1571" t="e">
        <f t="shared" si="14"/>
        <v>#N/A</v>
      </c>
      <c r="X30" s="1564"/>
      <c r="Y30" s="3439"/>
      <c r="Z30" s="1572" t="str">
        <f t="shared" si="15"/>
        <v>建筑面积</v>
      </c>
      <c r="AA30" s="1573" t="e">
        <f t="shared" si="3"/>
        <v>#N/A</v>
      </c>
      <c r="AB30" s="1573" t="e">
        <f t="shared" si="4"/>
        <v>#N/A</v>
      </c>
      <c r="AC30" s="1573"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1"/>
      <c r="M31" s="2132"/>
      <c r="N31" s="2132"/>
      <c r="O31" s="2133"/>
      <c r="P31" s="3439"/>
      <c r="Q31" s="1149" t="str">
        <f t="shared" si="11"/>
        <v>是否封闭</v>
      </c>
      <c r="R31" s="1565" t="s">
        <v>8</v>
      </c>
      <c r="S31" s="1566">
        <f t="shared" si="12"/>
        <v>100</v>
      </c>
      <c r="T31" s="1565" t="s">
        <v>8</v>
      </c>
      <c r="U31" s="1566">
        <f t="shared" si="13"/>
        <v>100</v>
      </c>
      <c r="V31" s="1565" t="s">
        <v>8</v>
      </c>
      <c r="W31" s="1566">
        <f t="shared" si="14"/>
        <v>100</v>
      </c>
      <c r="X31" s="1567"/>
      <c r="Y31" s="3439"/>
      <c r="Z31" s="1148" t="str">
        <f t="shared" si="15"/>
        <v>是否封闭</v>
      </c>
      <c r="AA31" s="1568">
        <f t="shared" si="3"/>
        <v>1</v>
      </c>
      <c r="AB31" s="1568">
        <f t="shared" si="4"/>
        <v>1</v>
      </c>
      <c r="AC31" s="1568">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8"/>
      <c r="M32" s="2130"/>
      <c r="N32" s="2130"/>
      <c r="O32" s="2137"/>
      <c r="P32" s="3439" t="s">
        <v>550</v>
      </c>
      <c r="Q32" s="1569">
        <f t="shared" si="11"/>
        <v>111</v>
      </c>
      <c r="R32" s="1570" t="s">
        <v>8</v>
      </c>
      <c r="S32" s="1571">
        <f t="shared" si="12"/>
        <v>100</v>
      </c>
      <c r="T32" s="1570" t="s">
        <v>8</v>
      </c>
      <c r="U32" s="1571">
        <f t="shared" si="13"/>
        <v>100</v>
      </c>
      <c r="V32" s="1570" t="s">
        <v>8</v>
      </c>
      <c r="W32" s="1571">
        <f t="shared" si="14"/>
        <v>100</v>
      </c>
      <c r="X32" s="1564"/>
      <c r="Y32" s="3439" t="s">
        <v>550</v>
      </c>
      <c r="Z32" s="1572">
        <f t="shared" si="15"/>
        <v>111</v>
      </c>
      <c r="AA32" s="1573">
        <f t="shared" si="3"/>
        <v>1</v>
      </c>
      <c r="AB32" s="1573">
        <f t="shared" si="4"/>
        <v>1</v>
      </c>
      <c r="AC32" s="1573">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8"/>
      <c r="M33" s="2130"/>
      <c r="N33" s="2130"/>
      <c r="O33" s="2137"/>
      <c r="P33" s="3439"/>
      <c r="Q33" s="1569">
        <f t="shared" si="11"/>
        <v>111</v>
      </c>
      <c r="R33" s="1570" t="s">
        <v>8</v>
      </c>
      <c r="S33" s="1571">
        <f t="shared" si="12"/>
        <v>100</v>
      </c>
      <c r="T33" s="1570" t="s">
        <v>8</v>
      </c>
      <c r="U33" s="1571">
        <f t="shared" si="13"/>
        <v>100</v>
      </c>
      <c r="V33" s="1570" t="s">
        <v>8</v>
      </c>
      <c r="W33" s="1571">
        <f t="shared" si="14"/>
        <v>100</v>
      </c>
      <c r="X33" s="1564"/>
      <c r="Y33" s="3439"/>
      <c r="Z33" s="1572">
        <f t="shared" si="15"/>
        <v>111</v>
      </c>
      <c r="AA33" s="1573">
        <f t="shared" si="3"/>
        <v>1</v>
      </c>
      <c r="AB33" s="1573">
        <f t="shared" si="4"/>
        <v>1</v>
      </c>
      <c r="AC33" s="1573">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8"/>
      <c r="M34" s="2130"/>
      <c r="N34" s="2130"/>
      <c r="O34" s="2137"/>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ht="15">
      <c r="A35" s="606" t="s">
        <v>736</v>
      </c>
      <c r="B35" s="885"/>
      <c r="C35" s="2623" t="s">
        <v>1</v>
      </c>
      <c r="D35" s="2624"/>
      <c r="E35" s="2625"/>
      <c r="F35" s="2626"/>
      <c r="G35" s="2627"/>
      <c r="H35" s="2628"/>
      <c r="I35" s="2625"/>
      <c r="J35" s="2628"/>
      <c r="K35" s="1608"/>
      <c r="L35" s="2140"/>
      <c r="M35" s="2141"/>
      <c r="N35" s="2130"/>
      <c r="O35" s="2141"/>
      <c r="P35" s="3401" t="str">
        <f>A35</f>
        <v>成交单价（元/平方米）</v>
      </c>
      <c r="Q35" s="3401"/>
      <c r="R35" s="3517">
        <f>E35</f>
        <v>0</v>
      </c>
      <c r="S35" s="3517"/>
      <c r="T35" s="3517">
        <f>G35</f>
        <v>0</v>
      </c>
      <c r="U35" s="3517"/>
      <c r="V35" s="3517">
        <f>I35</f>
        <v>0</v>
      </c>
      <c r="W35" s="3517"/>
      <c r="X35" s="1556"/>
      <c r="Y35" s="1578"/>
      <c r="Z35" s="1556"/>
      <c r="AA35" s="1556"/>
      <c r="AB35" s="1556"/>
      <c r="AC35" s="1556"/>
    </row>
    <row r="36" spans="1:29" ht="15.75" thickBot="1">
      <c r="A36" s="614" t="s">
        <v>2760</v>
      </c>
      <c r="B36" s="886"/>
      <c r="C36" s="2629" t="e">
        <f>R37</f>
        <v>#DIV/0!</v>
      </c>
      <c r="D36" s="2630"/>
      <c r="E36" s="2631" t="e">
        <f>R36</f>
        <v>#DIV/0!</v>
      </c>
      <c r="F36" s="2631"/>
      <c r="G36" s="2629" t="e">
        <f>T36</f>
        <v>#DIV/0!</v>
      </c>
      <c r="H36" s="2630"/>
      <c r="I36" s="2631" t="e">
        <f>V36</f>
        <v>#DIV/0!</v>
      </c>
      <c r="J36" s="2630"/>
      <c r="K36" s="1609"/>
      <c r="L36" s="2140"/>
      <c r="M36" s="2141"/>
      <c r="N36" s="2130"/>
      <c r="O36" s="2141"/>
      <c r="P36" s="3401" t="str">
        <f>A36</f>
        <v>比较价格（元/平方米）</v>
      </c>
      <c r="Q36" s="3401"/>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6"/>
      <c r="Y36" s="1556"/>
      <c r="Z36" s="1556"/>
      <c r="AA36" s="1556"/>
      <c r="AB36" s="1556"/>
      <c r="AC36" s="1556"/>
    </row>
    <row r="37" spans="1:29" ht="15.75" thickBot="1">
      <c r="A37" s="620" t="s">
        <v>2924</v>
      </c>
      <c r="B37" s="621"/>
      <c r="C37" s="2632" t="e">
        <f>R37</f>
        <v>#DIV/0!</v>
      </c>
      <c r="D37" s="2632"/>
      <c r="E37" s="2632"/>
      <c r="F37" s="2632"/>
      <c r="G37" s="2632"/>
      <c r="H37" s="2632"/>
      <c r="I37" s="2632"/>
      <c r="J37" s="2632"/>
      <c r="K37" s="1610"/>
      <c r="L37" s="2140"/>
      <c r="M37" s="2141"/>
      <c r="N37" s="2141"/>
      <c r="O37" s="2141"/>
      <c r="P37" s="3398" t="str">
        <f>A37</f>
        <v>估价对象XX用房的比较价格（楼面单价，元/平方米）</v>
      </c>
      <c r="Q37" s="3399"/>
      <c r="R37" s="3516" t="e">
        <f>IF(F1="售价",ROUND(AVERAGE(R36:V36),0),ROUND(AVERAGE(R36:V36),1))</f>
        <v>#DIV/0!</v>
      </c>
      <c r="S37" s="3516"/>
      <c r="T37" s="3516"/>
      <c r="U37" s="3516"/>
      <c r="V37" s="3516"/>
      <c r="W37" s="3516"/>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529</v>
      </c>
      <c r="B46" s="645"/>
      <c r="C46" s="2798" t="str">
        <f>YEAR(C7)&amp;"-"&amp;MONTH(C7)</f>
        <v>2018-8</v>
      </c>
      <c r="D46" s="2800">
        <f>EDATE(C46,-1)</f>
        <v>43282</v>
      </c>
      <c r="E46" s="2800">
        <f t="shared" ref="E46:O46" si="16">EDATE(D46,-1)</f>
        <v>43252</v>
      </c>
      <c r="F46" s="2800">
        <f t="shared" si="16"/>
        <v>43221</v>
      </c>
      <c r="G46" s="2800">
        <f t="shared" si="16"/>
        <v>43191</v>
      </c>
      <c r="H46" s="2800">
        <f t="shared" si="16"/>
        <v>43160</v>
      </c>
      <c r="I46" s="2800">
        <f t="shared" si="16"/>
        <v>43132</v>
      </c>
      <c r="J46" s="2800">
        <f t="shared" si="16"/>
        <v>43101</v>
      </c>
      <c r="K46" s="2800">
        <f t="shared" si="16"/>
        <v>43070</v>
      </c>
      <c r="L46" s="2800">
        <f t="shared" si="16"/>
        <v>43040</v>
      </c>
      <c r="M46" s="2800">
        <f t="shared" si="16"/>
        <v>43009</v>
      </c>
      <c r="N46" s="2800">
        <f t="shared" si="16"/>
        <v>42979</v>
      </c>
      <c r="O46" s="2800">
        <f t="shared" si="16"/>
        <v>42948</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575</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531</v>
      </c>
      <c r="B49" s="647"/>
      <c r="C49" s="659" t="s">
        <v>576</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577</v>
      </c>
      <c r="B51" s="664" t="s">
        <v>534</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3">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579</v>
      </c>
      <c r="D63" s="707" t="s">
        <v>580</v>
      </c>
      <c r="E63" s="707" t="s">
        <v>581</v>
      </c>
      <c r="F63" s="707" t="s">
        <v>582</v>
      </c>
      <c r="G63" s="707" t="s">
        <v>583</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93" t="s">
        <v>2558</v>
      </c>
      <c r="C65" s="2594" t="s">
        <v>2559</v>
      </c>
      <c r="D65" s="2594" t="s">
        <v>2560</v>
      </c>
      <c r="E65" s="2594" t="s">
        <v>2561</v>
      </c>
      <c r="F65" s="2594" t="s">
        <v>2562</v>
      </c>
      <c r="G65" s="2594" t="s">
        <v>2563</v>
      </c>
      <c r="H65" s="673"/>
      <c r="I65" s="673"/>
      <c r="J65" s="673"/>
      <c r="K65" s="673"/>
      <c r="L65" s="673"/>
      <c r="M65" s="2597"/>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744</v>
      </c>
      <c r="C67" s="707" t="s">
        <v>579</v>
      </c>
      <c r="D67" s="707" t="s">
        <v>580</v>
      </c>
      <c r="E67" s="707" t="s">
        <v>581</v>
      </c>
      <c r="F67" s="707" t="s">
        <v>582</v>
      </c>
      <c r="G67" s="707" t="s">
        <v>583</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745</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89"/>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551</v>
      </c>
      <c r="B77" s="664" t="s">
        <v>751</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817</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825</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827</v>
      </c>
      <c r="C89" s="687"/>
      <c r="D89" s="687"/>
      <c r="E89" s="687"/>
      <c r="F89" s="687"/>
      <c r="G89" s="687"/>
      <c r="H89" s="687"/>
      <c r="I89" s="687"/>
      <c r="J89" s="687"/>
      <c r="K89" s="687"/>
      <c r="L89" s="687"/>
      <c r="M89" s="889"/>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5">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福州盛景阳光城房地产开发有限公司：</v>
      </c>
    </row>
    <row r="4" spans="1:4" ht="37.5">
      <c r="A4" s="1787" t="str">
        <f>"受贵公司委托，我公司对"&amp;项目基本情况!K2&amp;项目基本情况!B9&amp;"进行了预评估。"</f>
        <v>受贵公司委托，我公司对福建省福州市鼓楼区五一中路以东，龙庭路南北侧，五一新城地块出让国有建设用地使用权抵押价格进行了预评估。</v>
      </c>
    </row>
    <row r="5" spans="1:4" ht="18.75">
      <c r="A5" s="1790" t="s">
        <v>1906</v>
      </c>
    </row>
    <row r="6" spans="1:4" ht="93.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鼓楼区五一中路以东，龙庭路南北侧，五一新城地块出让国有建设用地使用权。根据《不动产权证书》[闽（2018）福州市不动产权第0012297号]，估价对象（分摊）出让国有建设用地使用权面积为17908.1平方米。根据，估价对象规划建筑面积为57683.92平方米。</v>
      </c>
    </row>
    <row r="7" spans="1:4" ht="93.75">
      <c r="A7" s="2869" t="s">
        <v>2748</v>
      </c>
    </row>
    <row r="8" spans="1:4" ht="18.75">
      <c r="A8" s="1790" t="s">
        <v>1907</v>
      </c>
    </row>
    <row r="9" spans="1:4" ht="75">
      <c r="A9" s="1792"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2018年8月16日（评估专业人员勘察现场之日）</v>
      </c>
    </row>
    <row r="12" spans="1:4" ht="18.75">
      <c r="A12" s="1793" t="s">
        <v>2026</v>
      </c>
    </row>
    <row r="13" spans="1:4" ht="18.75">
      <c r="A13" s="1787" t="s">
        <v>2072</v>
      </c>
    </row>
    <row r="14" spans="1:4" ht="37.5">
      <c r="A14" s="1787" t="str">
        <f>"根据"&amp;项目基本情况!F12&amp;"，本次评估估价对象证载（地类）用途为"&amp;项目基本情况!B12&amp;"。"</f>
        <v>根据《不动产权证书》[闽（2018）福州市不动产权第0012297号]，本次评估估价对象证载（地类）用途为批发零售用地、城镇住宅用地。</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87" t="s">
        <v>2074</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根据《不动产权证书》[闽（2018）福州市不动产权第0012297号]，估价对象（分摊）出让国有建设用地使用权面积为17908.1平方米。根据，估价对象规划建筑面积为57683.92平方米。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71" t="s">
        <v>2749</v>
      </c>
    </row>
    <row r="24" spans="1:1" ht="18.75">
      <c r="A24" s="1787" t="s">
        <v>2076</v>
      </c>
    </row>
    <row r="25" spans="1:1" ht="93.75">
      <c r="A25" s="1787" t="str">
        <f>定义!C53</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2304</v>
      </c>
      <c r="C1" s="3534" t="s">
        <v>2305</v>
      </c>
      <c r="D1" s="3535"/>
      <c r="E1" s="3535"/>
      <c r="F1" s="3535"/>
      <c r="G1" s="3535"/>
      <c r="H1" s="3535"/>
      <c r="I1" s="3535"/>
      <c r="J1" s="3535"/>
      <c r="K1" s="3535"/>
      <c r="L1" s="3535"/>
      <c r="M1" s="3535"/>
      <c r="N1" s="3535"/>
      <c r="O1" s="3535"/>
      <c r="P1" s="3535"/>
      <c r="Q1" s="3535"/>
      <c r="R1" s="3535"/>
      <c r="S1" s="3536"/>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2" t="s">
        <v>2917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4" t="s">
        <v>2916</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4" t="s">
        <v>2915</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3"/>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2" t="s">
        <v>2930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2" t="s">
        <v>2914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2" t="s">
        <v>2913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6"/>
      <c r="C19" s="1986"/>
      <c r="D19" s="1986"/>
      <c r="E19" s="1986"/>
      <c r="F19" s="1986"/>
      <c r="G19" s="1986"/>
      <c r="H19" s="1986"/>
      <c r="I19" s="1986"/>
      <c r="J19" s="1986"/>
      <c r="K19" s="1986"/>
      <c r="L19" s="1986"/>
      <c r="M19" s="1986"/>
      <c r="N19" s="1986"/>
      <c r="O19" s="1986"/>
      <c r="P19" s="1986"/>
      <c r="Q19" s="1986"/>
      <c r="R19" s="2221"/>
      <c r="S19" s="2024"/>
    </row>
    <row r="20" spans="1:45" ht="15.75">
      <c r="A20" s="958" t="s">
        <v>828</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8" t="s">
        <v>829</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830</v>
      </c>
      <c r="B22" s="53">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43328</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1.5</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1726</v>
      </c>
      <c r="B1" s="737"/>
      <c r="C1" s="772" t="s">
        <v>35</v>
      </c>
      <c r="D1" s="3118" t="s">
        <v>3053</v>
      </c>
      <c r="E1" s="2383" t="s">
        <v>870</v>
      </c>
      <c r="F1" s="2384">
        <f ca="1">J53</f>
        <v>47.95</v>
      </c>
      <c r="G1" s="773">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2" t="s">
        <v>467</v>
      </c>
      <c r="B2" s="774">
        <f ca="1">C40+J29+L46</f>
        <v>-430</v>
      </c>
      <c r="C2" s="2053"/>
      <c r="D2" s="2051"/>
      <c r="E2" s="2052"/>
      <c r="F2" s="2052"/>
      <c r="G2" s="1587"/>
      <c r="H2" s="2053"/>
      <c r="I2" s="2053"/>
      <c r="J2" s="2053"/>
      <c r="K2" s="2054"/>
      <c r="L2" s="2053"/>
      <c r="M2" s="2053"/>
    </row>
    <row r="3" spans="1:33" ht="18" customHeight="1" thickBot="1">
      <c r="A3" s="832" t="s">
        <v>519</v>
      </c>
      <c r="B3" s="833">
        <f ca="1">IF(ISERROR(B2*10000/F43),0,ROUND(B2*10000/F43,0))</f>
        <v>-150</v>
      </c>
      <c r="C3" s="2053"/>
      <c r="D3" s="2051"/>
      <c r="E3" s="2052"/>
      <c r="F3" s="2052"/>
      <c r="G3" s="1587"/>
      <c r="H3" s="775" t="s">
        <v>695</v>
      </c>
      <c r="I3" s="1361"/>
      <c r="J3" s="1361"/>
      <c r="K3" s="1588"/>
      <c r="L3" s="1361"/>
      <c r="M3" s="1361"/>
    </row>
    <row r="4" spans="1:33" ht="18" customHeight="1">
      <c r="A4" s="776" t="s">
        <v>1729</v>
      </c>
      <c r="B4" s="777" t="s">
        <v>631</v>
      </c>
      <c r="C4" s="777" t="s">
        <v>1731</v>
      </c>
      <c r="D4" s="777" t="s">
        <v>633</v>
      </c>
      <c r="E4" s="778" t="s">
        <v>1732</v>
      </c>
      <c r="F4" s="779"/>
      <c r="G4" s="1589"/>
      <c r="H4" s="776" t="s">
        <v>1729</v>
      </c>
      <c r="I4" s="777" t="s">
        <v>631</v>
      </c>
      <c r="J4" s="777" t="s">
        <v>1731</v>
      </c>
      <c r="K4" s="777" t="s">
        <v>633</v>
      </c>
      <c r="L4" s="778" t="s">
        <v>1732</v>
      </c>
      <c r="M4" s="779"/>
    </row>
    <row r="5" spans="1:33" ht="18" customHeight="1">
      <c r="A5" s="780">
        <v>1</v>
      </c>
      <c r="B5" s="781" t="s">
        <v>2458</v>
      </c>
      <c r="C5" s="55">
        <f ca="1">C6+C10+C12</f>
        <v>0</v>
      </c>
      <c r="D5" s="2492" t="s">
        <v>2461</v>
      </c>
      <c r="E5" s="2486"/>
      <c r="F5" s="2487"/>
      <c r="G5" s="1589"/>
      <c r="H5" s="780">
        <v>1</v>
      </c>
      <c r="I5" s="781" t="s">
        <v>2458</v>
      </c>
      <c r="J5" s="55">
        <f ca="1">J6+J10+J12</f>
        <v>0</v>
      </c>
      <c r="K5" s="2492" t="s">
        <v>2461</v>
      </c>
      <c r="L5" s="2486"/>
      <c r="M5" s="2487"/>
    </row>
    <row r="6" spans="1:33" ht="18" customHeight="1">
      <c r="A6" s="1826" t="s">
        <v>1825</v>
      </c>
      <c r="B6" s="3479" t="s">
        <v>2463</v>
      </c>
      <c r="C6" s="782">
        <f ca="1">ROUND(F6*F8*F7*(1-F9)/10000,0)</f>
        <v>0</v>
      </c>
      <c r="D6" s="2493" t="s">
        <v>2462</v>
      </c>
      <c r="E6" s="783" t="s">
        <v>637</v>
      </c>
      <c r="F6" s="784">
        <f ca="1">INDIRECT("'数据-取费表'!u"&amp;$G$1)</f>
        <v>0</v>
      </c>
      <c r="G6" s="1589"/>
      <c r="H6" s="2500" t="s">
        <v>1825</v>
      </c>
      <c r="I6" s="3479" t="s">
        <v>2463</v>
      </c>
      <c r="J6" s="782">
        <f ca="1">ROUND(M6*M8*M7*(1-M9)/10000,0)</f>
        <v>0</v>
      </c>
      <c r="K6" s="340" t="s">
        <v>1738</v>
      </c>
      <c r="L6" s="783" t="s">
        <v>637</v>
      </c>
      <c r="M6" s="784">
        <f ca="1">INDIRECT("'数据-取费表'!z"&amp;$G$1)</f>
        <v>0</v>
      </c>
    </row>
    <row r="7" spans="1:33" ht="18" customHeight="1">
      <c r="A7" s="2496"/>
      <c r="B7" s="3480"/>
      <c r="C7" s="787"/>
      <c r="D7" s="788"/>
      <c r="E7" s="783" t="s">
        <v>638</v>
      </c>
      <c r="F7" s="784">
        <f ca="1">IF(INDIRECT("'数据-取费表'!ah"&amp;$G$1)="",INDIRECT("'数据-取费表'!k"&amp;$G$1),INDIRECT("'数据-取费表'!ah"&amp;$G$1))</f>
        <v>818</v>
      </c>
      <c r="G7" s="1589"/>
      <c r="H7" s="2485"/>
      <c r="I7" s="3480"/>
      <c r="J7" s="787"/>
      <c r="K7" s="788"/>
      <c r="L7" s="783" t="s">
        <v>638</v>
      </c>
      <c r="M7" s="784">
        <f ca="1">F7</f>
        <v>818</v>
      </c>
    </row>
    <row r="8" spans="1:33" ht="18" customHeight="1">
      <c r="A8" s="2489"/>
      <c r="B8" s="3481"/>
      <c r="C8" s="787"/>
      <c r="D8" s="788"/>
      <c r="E8" s="783" t="s">
        <v>639</v>
      </c>
      <c r="F8" s="784">
        <f ca="1">INDIRECT("'数据-取费表'!ai"&amp;$G$1)</f>
        <v>12</v>
      </c>
      <c r="G8" s="1589"/>
      <c r="H8" s="2485"/>
      <c r="I8" s="3481"/>
      <c r="J8" s="787"/>
      <c r="K8" s="788"/>
      <c r="L8" s="783" t="s">
        <v>639</v>
      </c>
      <c r="M8" s="784">
        <f ca="1">INDIRECT("'数据-取费表'!ai"&amp;$G$1)</f>
        <v>12</v>
      </c>
    </row>
    <row r="9" spans="1:33" ht="18" customHeight="1">
      <c r="A9" s="785"/>
      <c r="B9" s="3482"/>
      <c r="C9" s="787"/>
      <c r="D9" s="788"/>
      <c r="E9" s="783" t="s">
        <v>1742</v>
      </c>
      <c r="F9" s="793">
        <f ca="1">INDIRECT("'数据-取费表'!w"&amp;$G$1)</f>
        <v>0</v>
      </c>
      <c r="G9" s="1589"/>
      <c r="H9" s="2501"/>
      <c r="I9" s="3481"/>
      <c r="J9" s="787"/>
      <c r="K9" s="788"/>
      <c r="L9" s="794" t="s">
        <v>1742</v>
      </c>
      <c r="M9" s="795">
        <f ca="1">INDIRECT("'数据-取费表'!ab"&amp;$G$1)</f>
        <v>0</v>
      </c>
    </row>
    <row r="10" spans="1:33" ht="18" customHeight="1">
      <c r="A10" s="1826" t="s">
        <v>1826</v>
      </c>
      <c r="B10" s="2490" t="s">
        <v>2459</v>
      </c>
      <c r="C10" s="798">
        <f ca="1">ROUND(IF(F10="押一",C6/12*F11,IF(F10="押二",C6/12*2*F11,IF(F10="押三",C6/12*3*F11,C11*F11))),0)</f>
        <v>0</v>
      </c>
      <c r="D10" s="2497" t="s">
        <v>2965</v>
      </c>
      <c r="E10" s="2494" t="s">
        <v>2464</v>
      </c>
      <c r="F10" s="2617"/>
      <c r="G10" s="1589"/>
      <c r="H10" s="2557" t="s">
        <v>1826</v>
      </c>
      <c r="I10" s="2562" t="s">
        <v>2459</v>
      </c>
      <c r="J10" s="782">
        <f ca="1">ROUND(IF(M10="押一",J6/12*M11,IF(M10="押二",J6/12*2*M11,IF(M10="押三",J6/12*3*M11,J11*M11))),0)</f>
        <v>0</v>
      </c>
      <c r="K10" s="2497" t="s">
        <v>2965</v>
      </c>
      <c r="L10" s="2494" t="s">
        <v>2464</v>
      </c>
      <c r="M10" s="2617"/>
    </row>
    <row r="11" spans="1:33" ht="18" customHeight="1">
      <c r="A11" s="789"/>
      <c r="B11" s="2491" t="s">
        <v>2573</v>
      </c>
      <c r="C11" s="2495"/>
      <c r="D11" s="788"/>
      <c r="E11" s="2494" t="s">
        <v>2456</v>
      </c>
      <c r="F11" s="795">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1">
        <f ca="1">ROUND(C29*F13,0)</f>
        <v>0</v>
      </c>
      <c r="D13" s="1830" t="s">
        <v>2298</v>
      </c>
      <c r="E13" s="1830" t="s">
        <v>643</v>
      </c>
      <c r="F13" s="2532">
        <f ca="1">INDIRECT("'数据-取费表'!y"&amp;$G$1)</f>
        <v>0</v>
      </c>
      <c r="G13" s="1589"/>
      <c r="H13" s="1825">
        <v>2</v>
      </c>
      <c r="I13" s="1823" t="s">
        <v>644</v>
      </c>
      <c r="J13" s="1815">
        <f ca="1">ROUND(J14*J15,0)</f>
        <v>0</v>
      </c>
      <c r="K13" s="1817" t="s">
        <v>642</v>
      </c>
      <c r="L13" s="2548"/>
      <c r="M13" s="2549"/>
    </row>
    <row r="14" spans="1:33" ht="18" customHeight="1">
      <c r="A14" s="1645" t="s">
        <v>1832</v>
      </c>
      <c r="B14" s="783" t="s">
        <v>645</v>
      </c>
      <c r="C14" s="803">
        <f ca="1">INDIRECT("'数据-取费表'!m"&amp;$G$1)+INDIRECT("'数据-取费表'!t"&amp;$G$1)</f>
        <v>6311</v>
      </c>
      <c r="D14" s="3175" t="s">
        <v>1746</v>
      </c>
      <c r="E14" s="3174"/>
      <c r="F14" s="804"/>
      <c r="G14" s="1589"/>
      <c r="H14" s="1646" t="s">
        <v>1825</v>
      </c>
      <c r="I14" s="2227" t="s">
        <v>2825</v>
      </c>
      <c r="J14" s="53">
        <f ca="1">C29</f>
        <v>8418</v>
      </c>
      <c r="K14" s="26"/>
      <c r="L14" s="800"/>
      <c r="M14" s="801"/>
    </row>
    <row r="15" spans="1:33" s="2060" customFormat="1" ht="18" customHeight="1" thickBot="1">
      <c r="A15" s="1645" t="s">
        <v>1833</v>
      </c>
      <c r="B15" s="783" t="s">
        <v>647</v>
      </c>
      <c r="C15" s="53">
        <f ca="1">ROUND(C14*F15,0)</f>
        <v>189</v>
      </c>
      <c r="D15" s="805" t="s">
        <v>648</v>
      </c>
      <c r="E15" s="805" t="s">
        <v>649</v>
      </c>
      <c r="F15" s="806">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3" t="s">
        <v>650</v>
      </c>
      <c r="C16" s="53">
        <f ca="1">ROUND(INDIRECT("'数据-取费表'!m"&amp;$G$1)*F16,0)</f>
        <v>0</v>
      </c>
      <c r="D16" s="783" t="s">
        <v>648</v>
      </c>
      <c r="E16" s="783" t="s">
        <v>649</v>
      </c>
      <c r="F16" s="808">
        <f ca="1">IF(INDIRECT("'数据-取费表'!c"&amp;$G$1)="住宅",'数据-取费表'!B34,0)</f>
        <v>0</v>
      </c>
      <c r="G16" s="1589"/>
      <c r="H16" s="1825" t="s">
        <v>1749</v>
      </c>
      <c r="I16" s="1823" t="s">
        <v>1750</v>
      </c>
      <c r="J16" s="791">
        <f ca="1">ROUND(J17+J22+J23+J24,0)</f>
        <v>729</v>
      </c>
      <c r="K16" s="1817" t="s">
        <v>652</v>
      </c>
      <c r="L16" s="3178"/>
      <c r="M16" s="2487"/>
    </row>
    <row r="17" spans="1:33" s="2060" customFormat="1" ht="18" customHeight="1">
      <c r="A17" s="1645" t="s">
        <v>1888</v>
      </c>
      <c r="B17" s="783" t="s">
        <v>653</v>
      </c>
      <c r="C17" s="53">
        <f ca="1">ROUND(F17*(F43+INDIRECT("'数据-取费表'!S"&amp;$G$1))/10000,0)</f>
        <v>574</v>
      </c>
      <c r="D17" s="783" t="s">
        <v>1752</v>
      </c>
      <c r="E17" s="783" t="s">
        <v>655</v>
      </c>
      <c r="F17" s="56">
        <f>'数据-取费表'!B35</f>
        <v>200</v>
      </c>
      <c r="G17" s="1590"/>
      <c r="H17" s="1646" t="s">
        <v>1825</v>
      </c>
      <c r="I17" s="783" t="s">
        <v>656</v>
      </c>
      <c r="J17" s="53">
        <f ca="1">ROUND(IF(项目基本情况!B11="自然人",J5*M17,J18+J19+J20),0)</f>
        <v>729</v>
      </c>
      <c r="K17" s="3175" t="s">
        <v>657</v>
      </c>
      <c r="L17" s="3176" t="s">
        <v>1755</v>
      </c>
      <c r="M17" s="809"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3" t="s">
        <v>659</v>
      </c>
      <c r="C18" s="53">
        <f ca="1">ROUND(C14*F18,0)</f>
        <v>95</v>
      </c>
      <c r="D18" s="783" t="s">
        <v>648</v>
      </c>
      <c r="E18" s="783" t="s">
        <v>649</v>
      </c>
      <c r="F18" s="808">
        <f>'数据-取费表'!B36</f>
        <v>1.4999999999999999E-2</v>
      </c>
      <c r="G18" s="1590"/>
      <c r="H18" s="1645" t="s">
        <v>1832</v>
      </c>
      <c r="I18" s="783" t="s">
        <v>660</v>
      </c>
      <c r="J18" s="53">
        <f ca="1">ROUND(J5*M18/1.05,1)</f>
        <v>0</v>
      </c>
      <c r="K18" s="3176" t="s">
        <v>661</v>
      </c>
      <c r="L18" s="783" t="s">
        <v>649</v>
      </c>
      <c r="M18" s="808">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3" t="s">
        <v>662</v>
      </c>
      <c r="C19" s="53">
        <f ca="1">SUM(C14:C18)</f>
        <v>7169</v>
      </c>
      <c r="D19" s="260" t="s">
        <v>1758</v>
      </c>
      <c r="E19" s="3184"/>
      <c r="F19" s="56"/>
      <c r="G19" s="1589"/>
      <c r="H19" s="1645" t="s">
        <v>1833</v>
      </c>
      <c r="I19" s="783" t="s">
        <v>664</v>
      </c>
      <c r="J19" s="53">
        <f ca="1">IF(K19="按租金收入计税",ROUND(J5*M19,1),ROUND(C29*F33*0.7,1))</f>
        <v>707.1</v>
      </c>
      <c r="K19" s="810" t="s">
        <v>665</v>
      </c>
      <c r="L19" s="783" t="s">
        <v>649</v>
      </c>
      <c r="M19" s="808">
        <f>IF(K19="按租金收入计税",'数据-取费表'!B51,'数据-取费表'!B50)</f>
        <v>1.2E-2</v>
      </c>
    </row>
    <row r="20" spans="1:33" s="2060" customFormat="1" ht="18" customHeight="1">
      <c r="A20" s="1646" t="s">
        <v>1890</v>
      </c>
      <c r="B20" s="783" t="s">
        <v>666</v>
      </c>
      <c r="C20" s="53">
        <f ca="1">ROUND(C19*F20,0)</f>
        <v>143</v>
      </c>
      <c r="D20" s="811" t="s">
        <v>1760</v>
      </c>
      <c r="E20" s="783" t="s">
        <v>649</v>
      </c>
      <c r="F20" s="808">
        <f>'数据-取费表'!B37</f>
        <v>0.02</v>
      </c>
      <c r="G20" s="1590"/>
      <c r="H20" s="1648" t="s">
        <v>1834</v>
      </c>
      <c r="I20" s="340" t="s">
        <v>1761</v>
      </c>
      <c r="J20" s="54">
        <f ca="1">ROUND(M20*M21/10000,0)</f>
        <v>22</v>
      </c>
      <c r="K20" s="813" t="s">
        <v>1762</v>
      </c>
      <c r="L20" s="783" t="s">
        <v>1763</v>
      </c>
      <c r="M20" s="639">
        <f>'数据-取费表'!B52</f>
        <v>25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3" t="s">
        <v>671</v>
      </c>
      <c r="C21" s="53" t="s">
        <v>1765</v>
      </c>
      <c r="D21" s="811" t="s">
        <v>2299</v>
      </c>
      <c r="E21" s="783" t="s">
        <v>1766</v>
      </c>
      <c r="F21" s="808">
        <f>'数据-取费表'!B38</f>
        <v>0.02</v>
      </c>
      <c r="G21" s="1590"/>
      <c r="H21" s="2502"/>
      <c r="I21" s="792"/>
      <c r="J21" s="69"/>
      <c r="K21" s="815"/>
      <c r="L21" s="783" t="s">
        <v>674</v>
      </c>
      <c r="M21" s="784">
        <f ca="1">INDIRECT("'数据-取费表'!r"&amp;$G$1)</f>
        <v>8904.93</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3" t="s">
        <v>675</v>
      </c>
      <c r="C22" s="53"/>
      <c r="D22" s="2568" t="str">
        <f>IF(F23&lt;=1,"单利计息。","复利计息。")&amp;"建造成本、管理费用、销售费用产生的利息。"</f>
        <v>复利计息。建造成本、管理费用、销售费用产生的利息。</v>
      </c>
      <c r="E22" s="3184"/>
      <c r="F22" s="56"/>
      <c r="G22" s="1589"/>
      <c r="H22" s="1646" t="s">
        <v>1890</v>
      </c>
      <c r="I22" s="783" t="s">
        <v>676</v>
      </c>
      <c r="J22" s="53">
        <f ca="1">ROUND(J14*M22,0)</f>
        <v>0</v>
      </c>
      <c r="K22" s="3176" t="s">
        <v>1770</v>
      </c>
      <c r="L22" s="783" t="s">
        <v>649</v>
      </c>
      <c r="M22" s="816">
        <f ca="1">INDIRECT("'数据-取费表'!Ak"&amp;$G$1)</f>
        <v>0</v>
      </c>
    </row>
    <row r="23" spans="1:33" s="2060" customFormat="1" ht="18" customHeight="1">
      <c r="A23" s="1645" t="s">
        <v>1832</v>
      </c>
      <c r="B23" s="783" t="s">
        <v>2437</v>
      </c>
      <c r="C23" s="53">
        <f ca="1">ROUND(IF('数据-取费表'!B22&lt;=1,(C19+C20)*F24*F23/2,(C19+C20)*(POWER((1+F24),F23/2)-1)),0)</f>
        <v>259</v>
      </c>
      <c r="D23" s="2567" t="str">
        <f>IF(F23&lt;=1,"(建造成本+管理费用)×利率×(建设周期÷2)","(建造成本+管理费用)×((1+利率)^(建设周期÷2)-1)")</f>
        <v>(建造成本+管理费用)×((1+利率)^(建设周期÷2)-1)</v>
      </c>
      <c r="E23" s="783" t="s">
        <v>1771</v>
      </c>
      <c r="F23" s="639">
        <f>'数据-取费表'!B20</f>
        <v>1.5</v>
      </c>
      <c r="G23" s="1590"/>
      <c r="H23" s="1646" t="s">
        <v>1891</v>
      </c>
      <c r="I23" s="783" t="s">
        <v>679</v>
      </c>
      <c r="J23" s="53">
        <f ca="1">ROUND(J13*M23,0)</f>
        <v>0</v>
      </c>
      <c r="K23" s="3176" t="s">
        <v>1772</v>
      </c>
      <c r="L23" s="783" t="s">
        <v>649</v>
      </c>
      <c r="M23" s="817">
        <f ca="1">INDIRECT("'数据-取费表'!Al"&amp;$G$1)</f>
        <v>0</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3" t="s">
        <v>1773</v>
      </c>
      <c r="C24" s="53">
        <f ca="1">ROUND(IF('数据-取费表'!B22&lt;=1,F21*F24*F23/2,F21*(POWER((1+F24),F23/2)-1)),4)</f>
        <v>6.9999999999999999E-4</v>
      </c>
      <c r="D24" s="2567" t="str">
        <f>IF(F23&lt;=1,"销售费用×利率×(建设周期÷2)","销售费用×((1+利率)^(建设周期÷2)-1)")</f>
        <v>销售费用×((1+利率)^(建设周期÷2)-1)</v>
      </c>
      <c r="E24" s="783" t="s">
        <v>1774</v>
      </c>
      <c r="F24" s="818">
        <f ca="1">'数据-取费表'!B40</f>
        <v>4.7500000000000001E-2</v>
      </c>
      <c r="G24" s="1590"/>
      <c r="H24" s="2547" t="s">
        <v>1892</v>
      </c>
      <c r="I24" s="2542" t="s">
        <v>666</v>
      </c>
      <c r="J24" s="2540">
        <f ca="1">ROUND(J5*M24,0)</f>
        <v>0</v>
      </c>
      <c r="K24" s="2541" t="s">
        <v>1775</v>
      </c>
      <c r="L24" s="2542" t="s">
        <v>649</v>
      </c>
      <c r="M24" s="2538">
        <f ca="1">INDIRECT("'数据-取费表'!Am"&amp;$G$1)</f>
        <v>0</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3" t="s">
        <v>684</v>
      </c>
      <c r="C25" s="53"/>
      <c r="D25" s="260" t="s">
        <v>1776</v>
      </c>
      <c r="E25" s="3184"/>
      <c r="F25" s="56"/>
      <c r="G25" s="1589"/>
      <c r="H25" s="1825" t="s">
        <v>1777</v>
      </c>
      <c r="I25" s="3006" t="s">
        <v>2822</v>
      </c>
      <c r="J25" s="791">
        <f ca="1">J5-J16</f>
        <v>-729</v>
      </c>
      <c r="K25" s="2544" t="s">
        <v>1778</v>
      </c>
      <c r="L25" s="2545"/>
      <c r="M25" s="2546"/>
    </row>
    <row r="26" spans="1:33" ht="18" customHeight="1">
      <c r="A26" s="1645" t="s">
        <v>1832</v>
      </c>
      <c r="B26" s="783" t="s">
        <v>2438</v>
      </c>
      <c r="C26" s="53">
        <f ca="1">ROUND((C19+C20)*F26,0)</f>
        <v>219</v>
      </c>
      <c r="D26" s="811" t="s">
        <v>1779</v>
      </c>
      <c r="E26" s="794" t="s">
        <v>702</v>
      </c>
      <c r="F26" s="793">
        <f ca="1">INDIRECT("'数据-取费表'!q"&amp;$G$1)</f>
        <v>0.03</v>
      </c>
      <c r="G26" s="1589"/>
      <c r="H26" s="2498" t="s">
        <v>1781</v>
      </c>
      <c r="I26" s="2228" t="s">
        <v>2827</v>
      </c>
      <c r="J26" s="782">
        <f ca="1">IF(J5&lt;&gt;0,ROUND(J25*(1-((1+M28)/(1+M26))^M27)/(M26-M28),0),0)</f>
        <v>0</v>
      </c>
      <c r="K26" s="813" t="s">
        <v>704</v>
      </c>
      <c r="L26" s="783" t="s">
        <v>2419</v>
      </c>
      <c r="M26" s="793">
        <f ca="1">INDIRECT("'数据-取费表'!I"&amp;$G$1)</f>
        <v>4.4999999999999998E-2</v>
      </c>
    </row>
    <row r="27" spans="1:33" ht="18" customHeight="1">
      <c r="A27" s="1645" t="s">
        <v>1833</v>
      </c>
      <c r="B27" s="783" t="s">
        <v>686</v>
      </c>
      <c r="C27" s="53">
        <f ca="1">ROUND(F21*F26,4)</f>
        <v>5.9999999999999995E-4</v>
      </c>
      <c r="D27" s="811" t="s">
        <v>706</v>
      </c>
      <c r="E27" s="805"/>
      <c r="F27" s="806"/>
      <c r="G27" s="1589"/>
      <c r="H27" s="2499"/>
      <c r="I27" s="786"/>
      <c r="J27" s="787"/>
      <c r="K27" s="820" t="s">
        <v>707</v>
      </c>
      <c r="L27" s="783" t="s">
        <v>708</v>
      </c>
      <c r="M27" s="821">
        <f ca="1">INDIRECT("'数据-取费表'!ag"&amp;$G$1)</f>
        <v>0</v>
      </c>
    </row>
    <row r="28" spans="1:33" s="2060" customFormat="1" ht="18" customHeight="1">
      <c r="A28" s="1647" t="s">
        <v>1842</v>
      </c>
      <c r="B28" s="783" t="s">
        <v>687</v>
      </c>
      <c r="C28" s="53">
        <f>ROUND(F28/(1+'数据-取费表'!C42),4)</f>
        <v>5.33E-2</v>
      </c>
      <c r="D28" s="811" t="s">
        <v>2300</v>
      </c>
      <c r="E28" s="783" t="s">
        <v>649</v>
      </c>
      <c r="F28" s="808">
        <f>'数据-取费表'!B41</f>
        <v>5.6000000000000001E-2</v>
      </c>
      <c r="G28" s="1590"/>
      <c r="H28" s="1825"/>
      <c r="I28" s="790"/>
      <c r="J28" s="791"/>
      <c r="K28" s="815"/>
      <c r="L28" s="783" t="s">
        <v>1787</v>
      </c>
      <c r="M28" s="793">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8418</v>
      </c>
      <c r="D29" s="2541"/>
      <c r="E29" s="2542"/>
      <c r="F29" s="2543"/>
      <c r="G29" s="1590"/>
      <c r="H29" s="822" t="s">
        <v>1788</v>
      </c>
      <c r="I29" s="823" t="s">
        <v>1789</v>
      </c>
      <c r="J29" s="824">
        <f ca="1">ROUND(J26/(1+F40)^F41,0)</f>
        <v>0</v>
      </c>
      <c r="K29" s="825" t="s">
        <v>1790</v>
      </c>
      <c r="L29" s="826"/>
      <c r="M29" s="827">
        <f ca="1">INDIRECT("'数据-取费表'!k"&amp;$G$1)</f>
        <v>28630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1">
        <f ca="1">ROUND(C31+C36+C37+C38,0)</f>
        <v>22</v>
      </c>
      <c r="D30" s="1817" t="s">
        <v>652</v>
      </c>
      <c r="E30" s="3178"/>
      <c r="F30" s="2487"/>
      <c r="G30" s="2058"/>
      <c r="H30" s="2061"/>
      <c r="I30" s="2062"/>
      <c r="J30" s="2063"/>
      <c r="K30" s="2064"/>
      <c r="L30" s="2065"/>
      <c r="M30" s="2066"/>
    </row>
    <row r="31" spans="1:33" ht="18" customHeight="1">
      <c r="A31" s="1646" t="s">
        <v>1825</v>
      </c>
      <c r="B31" s="783" t="s">
        <v>656</v>
      </c>
      <c r="C31" s="53">
        <f ca="1">ROUND(IF(项目基本情况!B11="自然人",C5*F31,C32+C33+C34),1)</f>
        <v>22.3</v>
      </c>
      <c r="D31" s="3175" t="s">
        <v>657</v>
      </c>
      <c r="E31" s="3176" t="s">
        <v>690</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3" t="s">
        <v>660</v>
      </c>
      <c r="C32" s="53">
        <f ca="1">ROUND(C5*F32/1.05,1)</f>
        <v>0</v>
      </c>
      <c r="D32" s="3176" t="s">
        <v>661</v>
      </c>
      <c r="E32" s="783" t="s">
        <v>649</v>
      </c>
      <c r="F32" s="808">
        <f>'数据-取费表'!B41</f>
        <v>5.6000000000000001E-2</v>
      </c>
      <c r="G32" s="2058"/>
      <c r="H32" s="2067"/>
      <c r="I32" s="2068"/>
      <c r="J32" s="2069"/>
      <c r="K32" s="2070"/>
      <c r="L32" s="2071"/>
      <c r="M32" s="2072"/>
    </row>
    <row r="33" spans="1:18" ht="18" customHeight="1">
      <c r="A33" s="1645" t="s">
        <v>1833</v>
      </c>
      <c r="B33" s="783" t="s">
        <v>664</v>
      </c>
      <c r="C33" s="53">
        <f ca="1">IF(D33="按租金收入计税",ROUND(C5*F33,1),IF(D33="按房产原值计税",ROUND(C29*F33*0.7,1),INDIRECT("'数据-取费表'!Aj"&amp;$G$1)))</f>
        <v>0</v>
      </c>
      <c r="D33" s="810" t="s">
        <v>3054</v>
      </c>
      <c r="E33" s="783" t="s">
        <v>649</v>
      </c>
      <c r="F33" s="808">
        <f>IF(D33="按租金收入计税",'数据-取费表'!B51,'数据-取费表'!B50)</f>
        <v>0.12</v>
      </c>
      <c r="G33" s="2058"/>
      <c r="H33" s="2073"/>
      <c r="I33" s="2073"/>
      <c r="J33" s="2073"/>
      <c r="K33" s="2074"/>
      <c r="L33" s="2073"/>
      <c r="M33" s="2073"/>
    </row>
    <row r="34" spans="1:18" ht="18" customHeight="1">
      <c r="A34" s="1648" t="s">
        <v>1834</v>
      </c>
      <c r="B34" s="340" t="s">
        <v>1761</v>
      </c>
      <c r="C34" s="54">
        <f ca="1">ROUND(F34*F35/10000,1)</f>
        <v>22.3</v>
      </c>
      <c r="D34" s="813" t="s">
        <v>1762</v>
      </c>
      <c r="E34" s="783" t="s">
        <v>1763</v>
      </c>
      <c r="F34" s="639">
        <f>'数据-取费表'!B52</f>
        <v>25</v>
      </c>
      <c r="G34" s="2058"/>
      <c r="H34" s="2061"/>
      <c r="I34" s="834" t="s">
        <v>1814</v>
      </c>
      <c r="J34" s="835"/>
      <c r="K34" s="2076"/>
      <c r="L34" s="2075"/>
      <c r="M34" s="2075"/>
    </row>
    <row r="35" spans="1:18" ht="18" customHeight="1">
      <c r="A35" s="814"/>
      <c r="B35" s="792"/>
      <c r="C35" s="69"/>
      <c r="D35" s="815"/>
      <c r="E35" s="783" t="s">
        <v>674</v>
      </c>
      <c r="F35" s="784">
        <f ca="1">INDIRECT("'数据-取费表'!r"&amp;$G$1)</f>
        <v>8904.93</v>
      </c>
      <c r="G35" s="2058"/>
      <c r="H35" s="2061"/>
      <c r="I35" s="836" t="s">
        <v>1815</v>
      </c>
      <c r="J35" s="837">
        <f ca="1">ROUND(C13*J36,0)</f>
        <v>0</v>
      </c>
      <c r="K35" s="2074"/>
      <c r="L35" s="2073"/>
      <c r="M35" s="2073"/>
    </row>
    <row r="36" spans="1:18" ht="18" customHeight="1">
      <c r="A36" s="1646" t="s">
        <v>1890</v>
      </c>
      <c r="B36" s="783" t="s">
        <v>676</v>
      </c>
      <c r="C36" s="53">
        <f ca="1">ROUND(C29*F36,1)</f>
        <v>0</v>
      </c>
      <c r="D36" s="3176" t="s">
        <v>691</v>
      </c>
      <c r="E36" s="783" t="s">
        <v>649</v>
      </c>
      <c r="F36" s="816">
        <f ca="1">INDIRECT("'数据-取费表'!Ak"&amp;$G$1)</f>
        <v>0</v>
      </c>
      <c r="G36" s="2058"/>
      <c r="H36" s="2073"/>
      <c r="I36" s="838" t="s">
        <v>1816</v>
      </c>
      <c r="J36" s="839">
        <f ca="1">INDIRECT("'数据-取费表'!j"&amp;$G$1)</f>
        <v>8.5000000000000006E-2</v>
      </c>
      <c r="K36" s="2078"/>
      <c r="L36" s="2073"/>
      <c r="M36" s="2073"/>
    </row>
    <row r="37" spans="1:18" ht="18" customHeight="1">
      <c r="A37" s="1646" t="s">
        <v>1891</v>
      </c>
      <c r="B37" s="783" t="s">
        <v>679</v>
      </c>
      <c r="C37" s="53">
        <f ca="1">ROUND(C13*F37,1)</f>
        <v>0</v>
      </c>
      <c r="D37" s="3176" t="s">
        <v>1772</v>
      </c>
      <c r="E37" s="783" t="s">
        <v>649</v>
      </c>
      <c r="F37" s="817">
        <f ca="1">INDIRECT("'数据-取费表'!Al"&amp;$G$1)</f>
        <v>0</v>
      </c>
      <c r="G37" s="2058"/>
      <c r="H37" s="2073"/>
      <c r="I37" s="840" t="s">
        <v>1817</v>
      </c>
      <c r="J37" s="841"/>
      <c r="K37" s="2078"/>
      <c r="L37" s="2073"/>
      <c r="M37" s="2073"/>
    </row>
    <row r="38" spans="1:18" ht="18" customHeight="1" thickBot="1">
      <c r="A38" s="2547" t="s">
        <v>1892</v>
      </c>
      <c r="B38" s="2542" t="s">
        <v>666</v>
      </c>
      <c r="C38" s="2540">
        <f ca="1">ROUND(C5*F38,1)</f>
        <v>0</v>
      </c>
      <c r="D38" s="2541" t="s">
        <v>1775</v>
      </c>
      <c r="E38" s="2542" t="s">
        <v>649</v>
      </c>
      <c r="F38" s="2538">
        <f ca="1">INDIRECT("'数据-取费表'!Am"&amp;$G$1)</f>
        <v>0</v>
      </c>
      <c r="G38" s="2058"/>
      <c r="H38" s="2073"/>
      <c r="I38" s="842" t="s">
        <v>1818</v>
      </c>
      <c r="J38" s="843"/>
      <c r="K38" s="2079"/>
      <c r="L38" s="2073"/>
      <c r="M38" s="2073"/>
    </row>
    <row r="39" spans="1:18" ht="24.6" customHeight="1" thickTop="1">
      <c r="A39" s="1825" t="s">
        <v>1777</v>
      </c>
      <c r="B39" s="3006" t="s">
        <v>2822</v>
      </c>
      <c r="C39" s="791">
        <f ca="1">C5-C30</f>
        <v>-22</v>
      </c>
      <c r="D39" s="2544" t="s">
        <v>1778</v>
      </c>
      <c r="E39" s="2545"/>
      <c r="F39" s="2546"/>
      <c r="G39" s="2058"/>
      <c r="H39" s="2073"/>
      <c r="I39" s="836" t="s">
        <v>1819</v>
      </c>
      <c r="J39" s="844">
        <f ca="1">ROUND(J35/C39,3)</f>
        <v>0</v>
      </c>
      <c r="K39" s="2079"/>
      <c r="L39" s="2073"/>
      <c r="M39" s="2073"/>
    </row>
    <row r="40" spans="1:18" ht="18" customHeight="1">
      <c r="A40" s="780" t="s">
        <v>1781</v>
      </c>
      <c r="B40" s="2228" t="s">
        <v>2302</v>
      </c>
      <c r="C40" s="782">
        <f ca="1">ROUND(C39*(1-((1+F42)/(1+F40))^F41)/(F40-F42),0)</f>
        <v>-430</v>
      </c>
      <c r="D40" s="813" t="s">
        <v>704</v>
      </c>
      <c r="E40" s="783" t="s">
        <v>2419</v>
      </c>
      <c r="F40" s="793">
        <f ca="1">INDIRECT("'数据-取费表'!I"&amp;$G$1)</f>
        <v>4.4999999999999998E-2</v>
      </c>
      <c r="G40" s="2058"/>
      <c r="H40" s="2058"/>
      <c r="I40" s="836" t="s">
        <v>1820</v>
      </c>
      <c r="J40" s="844">
        <f ca="1">1-J39</f>
        <v>1</v>
      </c>
      <c r="K40" s="2079"/>
      <c r="L40" s="2058"/>
      <c r="M40" s="2058"/>
    </row>
    <row r="41" spans="1:18" ht="18" customHeight="1">
      <c r="A41" s="785"/>
      <c r="B41" s="786"/>
      <c r="C41" s="787"/>
      <c r="D41" s="820" t="s">
        <v>1809</v>
      </c>
      <c r="E41" s="783" t="s">
        <v>708</v>
      </c>
      <c r="F41" s="821">
        <f ca="1">IF(INDIRECT("'数据-取费表'!af"&amp;$G$1)=0,INDIRECT("'数据-取费表'!ae"&amp;$G$1),INDIRECT("'数据-取费表'!af"&amp;$G$1))</f>
        <v>47.95</v>
      </c>
      <c r="G41" s="2058"/>
      <c r="H41" s="1984"/>
      <c r="I41" s="842" t="s">
        <v>1821</v>
      </c>
      <c r="J41" s="845"/>
      <c r="K41" s="2078"/>
      <c r="L41" s="1984"/>
      <c r="M41" s="1984"/>
    </row>
    <row r="42" spans="1:18" ht="18" customHeight="1">
      <c r="A42" s="789"/>
      <c r="B42" s="790"/>
      <c r="C42" s="791"/>
      <c r="D42" s="815"/>
      <c r="E42" s="783" t="s">
        <v>1787</v>
      </c>
      <c r="F42" s="793">
        <f ca="1">INDIRECT("'数据-取费表'!v"&amp;$G$1)</f>
        <v>0</v>
      </c>
      <c r="G42" s="2058"/>
      <c r="H42" s="1984"/>
      <c r="I42" s="846" t="s">
        <v>1822</v>
      </c>
      <c r="J42" s="844">
        <f ca="1">ROUND(C13/C40,3)</f>
        <v>0</v>
      </c>
      <c r="K42" s="2078"/>
      <c r="L42" s="1984"/>
      <c r="M42" s="1984"/>
    </row>
    <row r="43" spans="1:18" ht="18" customHeight="1" thickBot="1">
      <c r="A43" s="822" t="s">
        <v>1788</v>
      </c>
      <c r="B43" s="823" t="s">
        <v>1811</v>
      </c>
      <c r="C43" s="824">
        <f ca="1">ROUND(C40*10000/F43,0)</f>
        <v>-150</v>
      </c>
      <c r="D43" s="825" t="s">
        <v>1812</v>
      </c>
      <c r="E43" s="826" t="s">
        <v>1813</v>
      </c>
      <c r="F43" s="827">
        <f ca="1">INDIRECT("'数据-取费表'!k"&amp;$G$1)</f>
        <v>28630</v>
      </c>
      <c r="G43" s="2058"/>
      <c r="H43" s="1984"/>
      <c r="I43" s="846" t="s">
        <v>1823</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3">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3" t="s">
        <v>2344</v>
      </c>
      <c r="J47" s="2377" t="s">
        <v>3028</v>
      </c>
      <c r="K47" s="3150" t="s">
        <v>2349</v>
      </c>
      <c r="L47" s="3154">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9" t="s">
        <v>2345</v>
      </c>
      <c r="J48" s="2378" t="s">
        <v>2350</v>
      </c>
      <c r="K48" s="3151" t="s">
        <v>2351</v>
      </c>
      <c r="L48" s="1904">
        <f ca="1">INDIRECT("'数据-取费表'!f"&amp;$G$1)</f>
        <v>49.45</v>
      </c>
      <c r="O48" s="2394" t="s">
        <v>2379</v>
      </c>
      <c r="P48" s="2395" t="s">
        <v>2405</v>
      </c>
      <c r="Q48" s="2396">
        <f ca="1">C40+J29</f>
        <v>-430</v>
      </c>
      <c r="R48" s="2395" t="s">
        <v>2380</v>
      </c>
    </row>
    <row r="49" spans="1:18" s="2055" customFormat="1" ht="18" customHeight="1" thickBot="1">
      <c r="A49" s="785"/>
      <c r="B49" s="786"/>
      <c r="C49" s="787"/>
      <c r="D49" s="788"/>
      <c r="E49" s="783" t="s">
        <v>638</v>
      </c>
      <c r="F49" s="784">
        <f ca="1">F7</f>
        <v>818</v>
      </c>
      <c r="G49" s="2086"/>
      <c r="H49" s="2089"/>
      <c r="I49" s="3119" t="s">
        <v>2346</v>
      </c>
      <c r="J49" s="2379">
        <v>2018</v>
      </c>
      <c r="K49" s="3152" t="s">
        <v>2352</v>
      </c>
      <c r="L49" s="2380"/>
      <c r="O49" s="2394" t="s">
        <v>2381</v>
      </c>
      <c r="P49" s="2395" t="s">
        <v>2406</v>
      </c>
      <c r="Q49" s="2396" t="str">
        <f ca="1">J60</f>
        <v>0</v>
      </c>
      <c r="R49" s="2395" t="s">
        <v>2382</v>
      </c>
    </row>
    <row r="50" spans="1:18" s="2055" customFormat="1" ht="18" customHeight="1" thickBot="1">
      <c r="A50" s="785"/>
      <c r="B50" s="786"/>
      <c r="C50" s="787"/>
      <c r="D50" s="788"/>
      <c r="E50" s="783" t="s">
        <v>639</v>
      </c>
      <c r="F50" s="784">
        <f ca="1">F8</f>
        <v>12</v>
      </c>
      <c r="G50" s="2091"/>
      <c r="H50" s="2089"/>
      <c r="I50" s="3119" t="s">
        <v>2347</v>
      </c>
      <c r="J50" s="3147">
        <f>SUMPRODUCT((I63:I65=J47)*(J62:L62=J48)*(J63:L65))</f>
        <v>60</v>
      </c>
      <c r="K50" s="3152" t="s">
        <v>2353</v>
      </c>
      <c r="L50" s="2380"/>
      <c r="O50" s="2397" t="s">
        <v>2383</v>
      </c>
      <c r="P50" s="2395" t="s">
        <v>2407</v>
      </c>
      <c r="Q50" s="2396">
        <f ca="1">C29</f>
        <v>8418</v>
      </c>
      <c r="R50" s="2395" t="s">
        <v>2380</v>
      </c>
    </row>
    <row r="51" spans="1:18" s="2055" customFormat="1" ht="18" customHeight="1" thickBot="1">
      <c r="A51" s="785"/>
      <c r="B51" s="786"/>
      <c r="C51" s="787"/>
      <c r="D51" s="788"/>
      <c r="E51" s="783" t="s">
        <v>640</v>
      </c>
      <c r="F51" s="2367"/>
      <c r="H51" s="2089"/>
      <c r="I51" s="3144" t="s">
        <v>2348</v>
      </c>
      <c r="J51" s="3148">
        <f>IF(J49="",J50,J49+J50-YEAR('数据-取费表'!B2))</f>
        <v>60</v>
      </c>
      <c r="K51" s="3119" t="s">
        <v>2354</v>
      </c>
      <c r="L51" s="3155">
        <f ca="1">ROUND(-PV(INDIRECT("'数据-取费表'!h"&amp;$G$1),L48,(C39-C13*J36),0),0)</f>
        <v>-471</v>
      </c>
      <c r="O51" s="2397" t="s">
        <v>2384</v>
      </c>
      <c r="P51" s="2395" t="s">
        <v>2385</v>
      </c>
      <c r="Q51" s="2398" t="e">
        <f ca="1">J58</f>
        <v>#VALUE!</v>
      </c>
      <c r="R51" s="2399"/>
    </row>
    <row r="52" spans="1:18" s="2055" customFormat="1" ht="18" customHeight="1" thickBot="1">
      <c r="A52" s="780" t="s">
        <v>2536</v>
      </c>
      <c r="B52" s="2490" t="s">
        <v>2459</v>
      </c>
      <c r="C52" s="798">
        <f ca="1">ROUND(IF(F52="押一",C48/12*F11,IF(F52="押二",C48/12*2*F11,IF(F52="押三",C48/12*3*F11,C53*F11))),0)</f>
        <v>0</v>
      </c>
      <c r="D52" s="2497" t="s">
        <v>2965</v>
      </c>
      <c r="E52" s="2494" t="s">
        <v>2464</v>
      </c>
      <c r="F52" s="2617"/>
      <c r="I52" s="3145" t="s">
        <v>2421</v>
      </c>
      <c r="J52" s="2381">
        <v>0.09</v>
      </c>
      <c r="K52" s="3145" t="s">
        <v>2420</v>
      </c>
      <c r="L52" s="2381"/>
      <c r="O52" s="2397" t="s">
        <v>2386</v>
      </c>
      <c r="P52" s="2395" t="s">
        <v>2387</v>
      </c>
      <c r="Q52" s="2398">
        <f>J52</f>
        <v>0.09</v>
      </c>
      <c r="R52" s="2399"/>
    </row>
    <row r="53" spans="1:18" s="2055" customFormat="1" ht="39.75" customHeight="1" thickBot="1">
      <c r="A53" s="785"/>
      <c r="B53" s="2491" t="s">
        <v>2573</v>
      </c>
      <c r="C53" s="2495"/>
      <c r="D53" s="2497"/>
      <c r="E53" s="2494"/>
      <c r="F53" s="799"/>
      <c r="I53" s="3146" t="s">
        <v>2970</v>
      </c>
      <c r="J53" s="3149">
        <f ca="1">IF(M47="住宅",IF(D1="——",MAX(J51,L48),MAX(J51,L48-'数据-取费表'!B20)),IF(D1="——",MIN(J51,L48),MIN(J51,L48-'数据-取费表'!B20)))</f>
        <v>47.95</v>
      </c>
      <c r="K53" s="3525" t="s">
        <v>2957</v>
      </c>
      <c r="L53" s="3526"/>
      <c r="O53" s="2397" t="s">
        <v>2388</v>
      </c>
      <c r="P53" s="2395" t="s">
        <v>2389</v>
      </c>
      <c r="Q53" s="2396">
        <f ca="1">J53</f>
        <v>47.95</v>
      </c>
      <c r="R53" s="2395" t="s">
        <v>2390</v>
      </c>
    </row>
    <row r="54" spans="1:18" s="2055" customFormat="1" ht="18" customHeight="1" thickBot="1">
      <c r="A54" s="2533" t="s">
        <v>2467</v>
      </c>
      <c r="B54" s="2534" t="s">
        <v>2460</v>
      </c>
      <c r="C54" s="2535"/>
      <c r="D54" s="2497"/>
      <c r="E54" s="2494"/>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-430</v>
      </c>
      <c r="R54" s="2399" t="s">
        <v>2392</v>
      </c>
    </row>
    <row r="55" spans="1:18" s="2055" customFormat="1" ht="18" customHeight="1" thickTop="1" thickBot="1">
      <c r="A55" s="796">
        <v>2</v>
      </c>
      <c r="B55" s="797" t="s">
        <v>644</v>
      </c>
      <c r="C55" s="798">
        <f ca="1">C13</f>
        <v>0</v>
      </c>
      <c r="D55" s="794"/>
      <c r="E55" s="794"/>
      <c r="F55" s="799"/>
      <c r="I55" s="3158" t="s">
        <v>2355</v>
      </c>
      <c r="J55" s="3094" t="e">
        <f ca="1">ROUND(IF(J47="钢混",J57/J50,1-(1-2%)*(J50-J57)/J50),3)</f>
        <v>#VALUE!</v>
      </c>
      <c r="K55" s="3159" t="s">
        <v>2356</v>
      </c>
      <c r="L55" s="2382"/>
      <c r="O55" s="2400" t="s">
        <v>2411</v>
      </c>
      <c r="P55" s="1589"/>
      <c r="Q55" s="1601"/>
      <c r="R55" s="1589"/>
    </row>
    <row r="56" spans="1:18" s="2055" customFormat="1" ht="42.75" customHeight="1" thickBot="1">
      <c r="A56" s="1647"/>
      <c r="B56" s="2227" t="s">
        <v>2301</v>
      </c>
      <c r="C56" s="53">
        <f ca="1">C29</f>
        <v>8418</v>
      </c>
      <c r="D56" s="3176"/>
      <c r="E56" s="783"/>
      <c r="F56" s="808"/>
      <c r="I56" s="3160" t="s">
        <v>2357</v>
      </c>
      <c r="J56" s="3170" t="s">
        <v>1679</v>
      </c>
      <c r="K56" s="3119" t="s">
        <v>2362</v>
      </c>
      <c r="L56" s="1904" t="str">
        <f ca="1">IF(L48&lt;J51,"——",L48-J51)</f>
        <v>——</v>
      </c>
      <c r="O56" s="2391" t="s">
        <v>2375</v>
      </c>
      <c r="P56" s="2392" t="s">
        <v>2376</v>
      </c>
      <c r="Q56" s="2393" t="s">
        <v>2377</v>
      </c>
      <c r="R56" s="2392" t="s">
        <v>2378</v>
      </c>
    </row>
    <row r="57" spans="1:18" s="2055" customFormat="1" ht="28.5" customHeight="1" thickBot="1">
      <c r="A57" s="796" t="s">
        <v>1749</v>
      </c>
      <c r="B57" s="797" t="s">
        <v>651</v>
      </c>
      <c r="C57" s="798">
        <f ca="1">ROUND(C58+C63+C64+C65,0)</f>
        <v>22</v>
      </c>
      <c r="D57" s="26" t="s">
        <v>652</v>
      </c>
      <c r="E57" s="3184"/>
      <c r="F57" s="56"/>
      <c r="I57" s="3161" t="s">
        <v>2358</v>
      </c>
      <c r="J57" s="3162" t="str">
        <f ca="1">IF(OR(M47="住宅",J51&lt;L48,J56="是"),"——",J51-L48)</f>
        <v>——</v>
      </c>
      <c r="K57" s="3119" t="s">
        <v>2363</v>
      </c>
      <c r="L57" s="1904" t="str">
        <f ca="1">IF(L48&lt;J51,"——",IF(L55="比较法",L49,IF(L55="基准地价",L50,L51)))</f>
        <v>——</v>
      </c>
      <c r="O57" s="2394" t="s">
        <v>2379</v>
      </c>
      <c r="P57" s="2395" t="s">
        <v>2405</v>
      </c>
      <c r="Q57" s="2396">
        <f ca="1">C40+J29</f>
        <v>-430</v>
      </c>
      <c r="R57" s="2395" t="s">
        <v>2380</v>
      </c>
    </row>
    <row r="58" spans="1:18" s="2055" customFormat="1" ht="28.5" customHeight="1" thickBot="1">
      <c r="A58" s="1646" t="s">
        <v>1825</v>
      </c>
      <c r="B58" s="783" t="s">
        <v>656</v>
      </c>
      <c r="C58" s="53">
        <f ca="1">ROUND(IF(项目基本情况!B11="自然人",C47*F58,C59+C60+C61),1)</f>
        <v>22.3</v>
      </c>
      <c r="D58" s="3175" t="s">
        <v>657</v>
      </c>
      <c r="E58" s="3176" t="s">
        <v>690</v>
      </c>
      <c r="F58" s="809" t="str">
        <f ca="1">IF(项目基本情况!B11="企业","",IF(INDIRECT("'数据-取费表'!c"&amp;$G$1)="住宅",5%,IF(F48*F49*F50/12/(1+'数据-取费表'!C42)&gt;20000,12%,7%)))</f>
        <v/>
      </c>
      <c r="I58" s="3161" t="s">
        <v>2359</v>
      </c>
      <c r="J58" s="3095" t="e">
        <f ca="1">IF(J55&lt;0.4,0.4,J55)</f>
        <v>#VALUE!</v>
      </c>
      <c r="K58" s="3119"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3" t="s">
        <v>660</v>
      </c>
      <c r="C59" s="53">
        <f ca="1">ROUND(C47*F59/1.05,1)</f>
        <v>0</v>
      </c>
      <c r="D59" s="3176" t="s">
        <v>661</v>
      </c>
      <c r="E59" s="783" t="s">
        <v>649</v>
      </c>
      <c r="F59" s="808">
        <f t="shared" ref="F59:F65" si="0">F32</f>
        <v>5.6000000000000001E-2</v>
      </c>
      <c r="I59" s="3161" t="s">
        <v>2360</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3" t="s">
        <v>664</v>
      </c>
      <c r="C60" s="53">
        <f ca="1">IF(D60="按租金收入计税",ROUND(C47*F60,1),IF(D60="按房产原值计税",ROUND(C56*F60*0.7,1),INDIRECT("'数据-取费表'!Aj"&amp;$G$1)))</f>
        <v>0</v>
      </c>
      <c r="D60" s="3176" t="str">
        <f>D33</f>
        <v>按租金收入计税</v>
      </c>
      <c r="E60" s="783" t="s">
        <v>649</v>
      </c>
      <c r="F60" s="808">
        <f t="shared" si="0"/>
        <v>0.12</v>
      </c>
      <c r="I60" s="3163" t="s">
        <v>2361</v>
      </c>
      <c r="J60" s="3164" t="str">
        <f ca="1">IF(OR(M47="住宅",J51&lt;L48,J56="是"),"0",ROUND(J59/(1+J52)^J53,0))</f>
        <v>0</v>
      </c>
      <c r="K60" s="3165" t="s">
        <v>2366</v>
      </c>
      <c r="L60" s="3164">
        <f ca="1">IF(OR(M47="住宅",L48&lt;J51),0,ROUND(L57*(L58/L59-1),0))</f>
        <v>0</v>
      </c>
      <c r="O60" s="2397" t="s">
        <v>2384</v>
      </c>
      <c r="P60" s="2395" t="s">
        <v>2393</v>
      </c>
      <c r="Q60" s="2398">
        <f>L52</f>
        <v>0</v>
      </c>
      <c r="R60" s="2399"/>
    </row>
    <row r="61" spans="1:18" s="2055" customFormat="1" ht="18" customHeight="1" thickBot="1">
      <c r="A61" s="1648" t="s">
        <v>1834</v>
      </c>
      <c r="B61" s="340" t="s">
        <v>668</v>
      </c>
      <c r="C61" s="54">
        <f ca="1">ROUND(F61*F62/10000,1)</f>
        <v>22.3</v>
      </c>
      <c r="D61" s="813" t="s">
        <v>669</v>
      </c>
      <c r="E61" s="783" t="s">
        <v>670</v>
      </c>
      <c r="F61" s="639">
        <f t="shared" si="0"/>
        <v>25</v>
      </c>
      <c r="K61" s="2082"/>
      <c r="O61" s="2397" t="s">
        <v>2386</v>
      </c>
      <c r="P61" s="2395" t="s">
        <v>2394</v>
      </c>
      <c r="Q61" s="2396" t="e">
        <f ca="1">L58</f>
        <v>#DIV/0!</v>
      </c>
      <c r="R61" s="2399" t="s">
        <v>2395</v>
      </c>
    </row>
    <row r="62" spans="1:18" s="2055" customFormat="1" ht="15.75" thickBot="1">
      <c r="A62" s="814"/>
      <c r="B62" s="792"/>
      <c r="C62" s="69"/>
      <c r="D62" s="815"/>
      <c r="E62" s="783" t="s">
        <v>674</v>
      </c>
      <c r="F62" s="784">
        <f t="shared" ca="1" si="0"/>
        <v>8904.93</v>
      </c>
      <c r="I62" s="3166" t="s">
        <v>2367</v>
      </c>
      <c r="J62" s="3167" t="s">
        <v>2368</v>
      </c>
      <c r="K62" s="3167" t="s">
        <v>2369</v>
      </c>
      <c r="L62" s="3167" t="s">
        <v>2350</v>
      </c>
      <c r="M62" s="3168" t="s">
        <v>2933</v>
      </c>
      <c r="O62" s="2397" t="s">
        <v>2388</v>
      </c>
      <c r="P62" s="2395" t="str">
        <f>K59</f>
        <v>建设期及建筑物耐用年限下的土地年期修正系数Kn</v>
      </c>
      <c r="Q62" s="2396" t="e">
        <f ca="1">L59</f>
        <v>#DIV/0!</v>
      </c>
      <c r="R62" s="2399" t="s">
        <v>2397</v>
      </c>
    </row>
    <row r="63" spans="1:18" s="2055" customFormat="1" ht="15.75" thickBot="1">
      <c r="A63" s="1646" t="s">
        <v>1890</v>
      </c>
      <c r="B63" s="783" t="s">
        <v>676</v>
      </c>
      <c r="C63" s="53">
        <f ca="1">ROUND(C56*F63,1)</f>
        <v>0</v>
      </c>
      <c r="D63" s="3176" t="s">
        <v>691</v>
      </c>
      <c r="E63" s="783" t="s">
        <v>649</v>
      </c>
      <c r="F63" s="816">
        <f t="shared" ca="1" si="0"/>
        <v>0</v>
      </c>
      <c r="I63" s="3166" t="s">
        <v>2370</v>
      </c>
      <c r="J63" s="3167">
        <v>70</v>
      </c>
      <c r="K63" s="3167">
        <v>50</v>
      </c>
      <c r="L63" s="3167">
        <v>80</v>
      </c>
      <c r="M63" s="3169">
        <v>0.02</v>
      </c>
      <c r="O63" s="2394" t="s">
        <v>2391</v>
      </c>
      <c r="P63" s="2395" t="s">
        <v>2408</v>
      </c>
      <c r="Q63" s="2396">
        <f ca="1">Q57+Q58</f>
        <v>-430</v>
      </c>
      <c r="R63" s="2399" t="s">
        <v>2392</v>
      </c>
    </row>
    <row r="64" spans="1:18" s="2055" customFormat="1" ht="16.5" thickBot="1">
      <c r="A64" s="1646" t="s">
        <v>1891</v>
      </c>
      <c r="B64" s="783" t="s">
        <v>679</v>
      </c>
      <c r="C64" s="53">
        <f ca="1">ROUND(C55*F64,1)</f>
        <v>0</v>
      </c>
      <c r="D64" s="3176" t="s">
        <v>680</v>
      </c>
      <c r="E64" s="783" t="s">
        <v>649</v>
      </c>
      <c r="F64" s="817">
        <f t="shared" ca="1" si="0"/>
        <v>0</v>
      </c>
      <c r="I64" s="3166" t="s">
        <v>2371</v>
      </c>
      <c r="J64" s="3167">
        <v>50</v>
      </c>
      <c r="K64" s="3167">
        <v>35</v>
      </c>
      <c r="L64" s="3167">
        <v>60</v>
      </c>
      <c r="M64" s="845">
        <v>0</v>
      </c>
      <c r="O64" s="2400" t="s">
        <v>2415</v>
      </c>
      <c r="P64" s="1589"/>
      <c r="Q64" s="1601"/>
      <c r="R64" s="1589"/>
    </row>
    <row r="65" spans="1:18" s="2055" customFormat="1" ht="15.75" thickBot="1">
      <c r="A65" s="1646" t="s">
        <v>1892</v>
      </c>
      <c r="B65" s="783" t="s">
        <v>666</v>
      </c>
      <c r="C65" s="53">
        <f ca="1">ROUND(C47*F65,1)</f>
        <v>0</v>
      </c>
      <c r="D65" s="3176" t="s">
        <v>683</v>
      </c>
      <c r="E65" s="783" t="s">
        <v>649</v>
      </c>
      <c r="F65" s="793">
        <f t="shared" ca="1" si="0"/>
        <v>0</v>
      </c>
      <c r="I65" s="3166" t="s">
        <v>2372</v>
      </c>
      <c r="J65" s="3167">
        <v>40</v>
      </c>
      <c r="K65" s="3167">
        <v>30</v>
      </c>
      <c r="L65" s="3167">
        <v>50</v>
      </c>
      <c r="M65" s="3169">
        <v>0.02</v>
      </c>
      <c r="O65" s="2391" t="s">
        <v>2375</v>
      </c>
      <c r="P65" s="2392" t="s">
        <v>2376</v>
      </c>
      <c r="Q65" s="2393" t="s">
        <v>2377</v>
      </c>
      <c r="R65" s="2392" t="s">
        <v>2378</v>
      </c>
    </row>
    <row r="66" spans="1:18" s="2055" customFormat="1" ht="24.75" thickBot="1">
      <c r="A66" s="796" t="s">
        <v>1777</v>
      </c>
      <c r="B66" s="3007" t="s">
        <v>2822</v>
      </c>
      <c r="C66" s="798">
        <f ca="1">C47-C57</f>
        <v>-22</v>
      </c>
      <c r="D66" s="3175" t="s">
        <v>700</v>
      </c>
      <c r="E66" s="3173"/>
      <c r="F66" s="819"/>
      <c r="K66" s="2082"/>
      <c r="O66" s="2394" t="s">
        <v>2379</v>
      </c>
      <c r="P66" s="2395" t="s">
        <v>2405</v>
      </c>
      <c r="Q66" s="2396">
        <f ca="1">C40+J29</f>
        <v>-430</v>
      </c>
      <c r="R66" s="2395" t="s">
        <v>2380</v>
      </c>
    </row>
    <row r="67" spans="1:18" s="2055" customFormat="1" ht="20.25" thickBot="1">
      <c r="A67" s="780" t="s">
        <v>1781</v>
      </c>
      <c r="B67" s="2228" t="s">
        <v>2302</v>
      </c>
      <c r="C67" s="782">
        <f ca="1">ROUND(C66*(1-((1+F69)/(1+F67))^F68)/(F67-F69),0)</f>
        <v>-430</v>
      </c>
      <c r="D67" s="813" t="s">
        <v>704</v>
      </c>
      <c r="E67" s="783" t="s">
        <v>705</v>
      </c>
      <c r="F67" s="793">
        <f ca="1">F40</f>
        <v>4.4999999999999998E-2</v>
      </c>
      <c r="K67" s="2082"/>
      <c r="O67" s="2394" t="s">
        <v>2381</v>
      </c>
      <c r="P67" s="2395" t="s">
        <v>2412</v>
      </c>
      <c r="Q67" s="2396">
        <f ca="1">L60</f>
        <v>0</v>
      </c>
      <c r="R67" s="2399" t="s">
        <v>2414</v>
      </c>
    </row>
    <row r="68" spans="1:18" ht="21.75" thickBot="1">
      <c r="A68" s="785"/>
      <c r="B68" s="786"/>
      <c r="C68" s="787"/>
      <c r="D68" s="820" t="s">
        <v>1809</v>
      </c>
      <c r="E68" s="783" t="s">
        <v>708</v>
      </c>
      <c r="F68" s="821">
        <f ca="1">F41</f>
        <v>47.95</v>
      </c>
      <c r="O68" s="2397" t="s">
        <v>2383</v>
      </c>
      <c r="P68" s="2395" t="s">
        <v>2413</v>
      </c>
      <c r="Q68" s="2401">
        <f ca="1">L51</f>
        <v>-471</v>
      </c>
      <c r="R68" s="2402" t="s">
        <v>2416</v>
      </c>
    </row>
    <row r="69" spans="1:18" ht="20.25" thickBot="1">
      <c r="A69" s="789"/>
      <c r="B69" s="790"/>
      <c r="C69" s="791"/>
      <c r="D69" s="815"/>
      <c r="E69" s="783" t="s">
        <v>710</v>
      </c>
      <c r="F69" s="2367"/>
      <c r="O69" s="2397" t="s">
        <v>2384</v>
      </c>
      <c r="P69" s="2403" t="s">
        <v>2398</v>
      </c>
      <c r="Q69" s="2396">
        <f ca="1">ROUND(Q70-Q71*Q72,0)</f>
        <v>-22</v>
      </c>
      <c r="R69" s="2399"/>
    </row>
    <row r="70" spans="1:18" ht="15.75" thickBot="1">
      <c r="A70" s="822" t="s">
        <v>1788</v>
      </c>
      <c r="B70" s="823" t="s">
        <v>1811</v>
      </c>
      <c r="C70" s="824">
        <f ca="1">ROUND(C67*10000/F70,0)</f>
        <v>-150</v>
      </c>
      <c r="D70" s="825" t="s">
        <v>1812</v>
      </c>
      <c r="E70" s="826" t="s">
        <v>1813</v>
      </c>
      <c r="F70" s="827">
        <f ca="1">F43</f>
        <v>28630</v>
      </c>
      <c r="O70" s="2397" t="s">
        <v>2399</v>
      </c>
      <c r="P70" s="2403" t="s">
        <v>2400</v>
      </c>
      <c r="Q70" s="2396">
        <f ca="1">C39</f>
        <v>-22</v>
      </c>
      <c r="R70" s="2395" t="s">
        <v>2380</v>
      </c>
    </row>
    <row r="71" spans="1:18" ht="15.75" thickBot="1">
      <c r="O71" s="2397" t="s">
        <v>2401</v>
      </c>
      <c r="P71" s="2403" t="s">
        <v>2402</v>
      </c>
      <c r="Q71" s="2396">
        <f ca="1">C13</f>
        <v>0</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-430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topLeftCell="A4" workbookViewId="0">
      <selection activeCell="L24" sqref="L24"/>
    </sheetView>
  </sheetViews>
  <sheetFormatPr defaultRowHeight="13.5"/>
  <sheetData>
    <row r="37" spans="2:2">
      <c r="B37" s="3171" t="s">
        <v>3276</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4" sqref="A14:XFD14"/>
    </sheetView>
  </sheetViews>
  <sheetFormatPr defaultRowHeight="13.5"/>
  <cols>
    <col min="1" max="1" width="31.75" customWidth="1"/>
    <col min="2" max="2" width="4.5" customWidth="1"/>
    <col min="4" max="4" width="15.25" style="3207" customWidth="1"/>
    <col min="5" max="5" width="14.5" style="3207" customWidth="1"/>
    <col min="6" max="6" width="12.625" style="3207" customWidth="1"/>
    <col min="7" max="7" width="9" style="3207"/>
    <col min="8" max="8" width="10.75" style="3207" customWidth="1"/>
    <col min="9" max="12" width="9" style="3207"/>
  </cols>
  <sheetData>
    <row r="1" spans="1:13" s="3201" customFormat="1" ht="12">
      <c r="A1" s="3201" t="s">
        <v>3058</v>
      </c>
      <c r="B1" s="3201" t="s">
        <v>3059</v>
      </c>
      <c r="C1" s="3201" t="s">
        <v>3060</v>
      </c>
      <c r="D1" s="3204" t="s">
        <v>3061</v>
      </c>
      <c r="E1" s="3204" t="s">
        <v>3062</v>
      </c>
      <c r="F1" s="3204" t="s">
        <v>2033</v>
      </c>
      <c r="G1" s="3204" t="s">
        <v>3063</v>
      </c>
      <c r="H1" s="3204" t="s">
        <v>3064</v>
      </c>
      <c r="I1" s="3204" t="s">
        <v>3065</v>
      </c>
      <c r="J1" s="3204" t="s">
        <v>3066</v>
      </c>
      <c r="K1" s="3204" t="s">
        <v>3067</v>
      </c>
      <c r="L1" s="3204" t="s">
        <v>3068</v>
      </c>
      <c r="M1" s="3201" t="s">
        <v>3069</v>
      </c>
    </row>
    <row r="2" spans="1:13" s="3202" customFormat="1" ht="12">
      <c r="A2" s="3202" t="s">
        <v>3070</v>
      </c>
      <c r="B2" s="3202" t="s">
        <v>3071</v>
      </c>
      <c r="C2" s="3202" t="s">
        <v>3072</v>
      </c>
      <c r="D2" s="3205">
        <v>65666</v>
      </c>
      <c r="E2" s="3205">
        <v>131332</v>
      </c>
      <c r="F2" s="3205" t="s">
        <v>3073</v>
      </c>
      <c r="G2" s="3205" t="s">
        <v>3074</v>
      </c>
      <c r="H2" s="3205" t="s">
        <v>3075</v>
      </c>
      <c r="I2" s="3205">
        <v>285400</v>
      </c>
      <c r="J2" s="3205">
        <v>285400</v>
      </c>
      <c r="K2" s="3205">
        <v>21731.18</v>
      </c>
      <c r="L2" s="3205">
        <v>0</v>
      </c>
      <c r="M2" s="3202" t="s">
        <v>3076</v>
      </c>
    </row>
    <row r="3" spans="1:13" s="3202" customFormat="1" ht="12">
      <c r="A3" s="3202" t="s">
        <v>3077</v>
      </c>
      <c r="B3" s="3202" t="s">
        <v>3071</v>
      </c>
      <c r="C3" s="3202" t="s">
        <v>3078</v>
      </c>
      <c r="D3" s="3205">
        <v>33751</v>
      </c>
      <c r="E3" s="3205">
        <v>94502.8</v>
      </c>
      <c r="F3" s="3205" t="s">
        <v>3079</v>
      </c>
      <c r="G3" s="3205" t="s">
        <v>3074</v>
      </c>
      <c r="H3" s="3205" t="s">
        <v>3075</v>
      </c>
      <c r="I3" s="3205">
        <v>208000</v>
      </c>
      <c r="J3" s="3205">
        <v>217400</v>
      </c>
      <c r="K3" s="3205">
        <v>23004.61</v>
      </c>
      <c r="L3" s="3205">
        <v>4.5199999999999996</v>
      </c>
      <c r="M3" s="3202" t="s">
        <v>3080</v>
      </c>
    </row>
    <row r="4" spans="1:13" s="3201" customFormat="1" ht="12">
      <c r="A4" s="3201" t="s">
        <v>3081</v>
      </c>
      <c r="B4" s="3201" t="s">
        <v>3071</v>
      </c>
      <c r="C4" s="3201" t="s">
        <v>3072</v>
      </c>
      <c r="D4" s="3204">
        <v>34019</v>
      </c>
      <c r="E4" s="3204">
        <v>68038</v>
      </c>
      <c r="F4" s="3204" t="s">
        <v>3082</v>
      </c>
      <c r="G4" s="3204" t="s">
        <v>3074</v>
      </c>
      <c r="H4" s="3204" t="s">
        <v>3083</v>
      </c>
      <c r="I4" s="3204">
        <v>59900</v>
      </c>
      <c r="J4" s="3204">
        <v>62700</v>
      </c>
      <c r="K4" s="3204">
        <v>9215.44</v>
      </c>
      <c r="L4" s="3204">
        <v>4.67</v>
      </c>
      <c r="M4" s="3201" t="s">
        <v>3084</v>
      </c>
    </row>
    <row r="5" spans="1:13" s="3201" customFormat="1" ht="12">
      <c r="A5" s="3201" t="s">
        <v>3085</v>
      </c>
      <c r="B5" s="3201" t="s">
        <v>3071</v>
      </c>
      <c r="C5" s="3201" t="s">
        <v>3072</v>
      </c>
      <c r="D5" s="3204">
        <v>21256</v>
      </c>
      <c r="E5" s="3204">
        <v>51014.400000000001</v>
      </c>
      <c r="F5" s="3204" t="s">
        <v>3086</v>
      </c>
      <c r="G5" s="3204" t="s">
        <v>3074</v>
      </c>
      <c r="H5" s="3204" t="s">
        <v>3087</v>
      </c>
      <c r="I5" s="3204">
        <v>51800</v>
      </c>
      <c r="J5" s="3204">
        <v>59000</v>
      </c>
      <c r="K5" s="3204">
        <v>11565.36</v>
      </c>
      <c r="L5" s="3204">
        <v>13.9</v>
      </c>
      <c r="M5" s="3201" t="s">
        <v>3088</v>
      </c>
    </row>
    <row r="6" spans="1:13" s="3201" customFormat="1" ht="12">
      <c r="A6" s="3201" t="s">
        <v>3089</v>
      </c>
      <c r="B6" s="3201" t="s">
        <v>3071</v>
      </c>
      <c r="C6" s="3201" t="s">
        <v>3078</v>
      </c>
      <c r="D6" s="3204">
        <v>105422</v>
      </c>
      <c r="E6" s="3204">
        <v>231928.4</v>
      </c>
      <c r="F6" s="3204" t="s">
        <v>3090</v>
      </c>
      <c r="G6" s="3204" t="s">
        <v>3074</v>
      </c>
      <c r="H6" s="3204" t="s">
        <v>3087</v>
      </c>
      <c r="I6" s="3204">
        <v>331200</v>
      </c>
      <c r="J6" s="3204">
        <v>331200</v>
      </c>
      <c r="K6" s="3204">
        <v>14280.27</v>
      </c>
      <c r="L6" s="3204">
        <v>0</v>
      </c>
      <c r="M6" s="3201" t="s">
        <v>3091</v>
      </c>
    </row>
    <row r="7" spans="1:13" s="3201" customFormat="1" ht="12">
      <c r="A7" s="3201" t="s">
        <v>3089</v>
      </c>
      <c r="B7" s="3201" t="s">
        <v>3071</v>
      </c>
      <c r="C7" s="3201" t="s">
        <v>3078</v>
      </c>
      <c r="D7" s="3204">
        <v>63445</v>
      </c>
      <c r="E7" s="3204">
        <v>152268</v>
      </c>
      <c r="F7" s="3204" t="s">
        <v>3086</v>
      </c>
      <c r="G7" s="3204" t="s">
        <v>3074</v>
      </c>
      <c r="H7" s="3204" t="s">
        <v>3092</v>
      </c>
      <c r="I7" s="3204">
        <v>243700</v>
      </c>
      <c r="J7" s="3204">
        <v>293000</v>
      </c>
      <c r="K7" s="3204">
        <v>19242.38</v>
      </c>
      <c r="L7" s="3204">
        <v>20.23</v>
      </c>
      <c r="M7" s="3201" t="s">
        <v>3093</v>
      </c>
    </row>
    <row r="8" spans="1:13" s="3201" customFormat="1" ht="12">
      <c r="A8" s="3201" t="s">
        <v>3089</v>
      </c>
      <c r="B8" s="3201" t="s">
        <v>3071</v>
      </c>
      <c r="C8" s="3201" t="s">
        <v>3072</v>
      </c>
      <c r="D8" s="3204">
        <v>34482</v>
      </c>
      <c r="E8" s="3204">
        <v>75860.399999999994</v>
      </c>
      <c r="F8" s="3204" t="s">
        <v>3090</v>
      </c>
      <c r="G8" s="3204" t="s">
        <v>3074</v>
      </c>
      <c r="H8" s="3204" t="s">
        <v>3092</v>
      </c>
      <c r="I8" s="3204">
        <v>63200</v>
      </c>
      <c r="J8" s="3204">
        <v>70400</v>
      </c>
      <c r="K8" s="3204">
        <v>9280.2000000000007</v>
      </c>
      <c r="L8" s="3204">
        <v>11.39</v>
      </c>
      <c r="M8" s="3201" t="s">
        <v>3094</v>
      </c>
    </row>
    <row r="9" spans="1:13" s="3201" customFormat="1" ht="12">
      <c r="A9" s="3201" t="s">
        <v>3089</v>
      </c>
      <c r="B9" s="3201" t="s">
        <v>3071</v>
      </c>
      <c r="C9" s="3201" t="s">
        <v>3078</v>
      </c>
      <c r="D9" s="3204">
        <v>51596</v>
      </c>
      <c r="E9" s="3204">
        <v>108351.6</v>
      </c>
      <c r="F9" s="3204" t="s">
        <v>3095</v>
      </c>
      <c r="G9" s="3204" t="s">
        <v>3074</v>
      </c>
      <c r="H9" s="3204" t="s">
        <v>3092</v>
      </c>
      <c r="I9" s="3204">
        <v>166200</v>
      </c>
      <c r="J9" s="3204">
        <v>222200</v>
      </c>
      <c r="K9" s="3204">
        <v>20507.310000000001</v>
      </c>
      <c r="L9" s="3204">
        <v>33.69</v>
      </c>
      <c r="M9" s="3201" t="s">
        <v>3096</v>
      </c>
    </row>
    <row r="10" spans="1:13" s="3201" customFormat="1" ht="12">
      <c r="A10" s="3201" t="s">
        <v>3089</v>
      </c>
      <c r="B10" s="3201" t="s">
        <v>3071</v>
      </c>
      <c r="C10" s="3201" t="s">
        <v>3072</v>
      </c>
      <c r="D10" s="3204">
        <v>34335</v>
      </c>
      <c r="E10" s="3204">
        <v>75537</v>
      </c>
      <c r="F10" s="3204" t="s">
        <v>3090</v>
      </c>
      <c r="G10" s="3204" t="s">
        <v>3074</v>
      </c>
      <c r="H10" s="3204" t="s">
        <v>3092</v>
      </c>
      <c r="I10" s="3204">
        <v>62900</v>
      </c>
      <c r="J10" s="3204">
        <v>70100</v>
      </c>
      <c r="K10" s="3204">
        <v>9280.2099999999991</v>
      </c>
      <c r="L10" s="3204">
        <v>11.45</v>
      </c>
      <c r="M10" s="3201" t="s">
        <v>3094</v>
      </c>
    </row>
    <row r="11" spans="1:13" s="3201" customFormat="1" ht="12">
      <c r="A11" s="3201" t="s">
        <v>3097</v>
      </c>
      <c r="B11" s="3201" t="s">
        <v>3071</v>
      </c>
      <c r="C11" s="3201" t="s">
        <v>3072</v>
      </c>
      <c r="D11" s="3204">
        <v>25038</v>
      </c>
      <c r="E11" s="3204">
        <v>55083.6</v>
      </c>
      <c r="F11" s="3204" t="s">
        <v>3090</v>
      </c>
      <c r="G11" s="3204" t="s">
        <v>3074</v>
      </c>
      <c r="H11" s="3204" t="s">
        <v>3098</v>
      </c>
      <c r="I11" s="3204">
        <v>70800</v>
      </c>
      <c r="J11" s="3204">
        <v>70800</v>
      </c>
      <c r="K11" s="3204">
        <v>12853.19</v>
      </c>
      <c r="L11" s="3204">
        <v>0</v>
      </c>
      <c r="M11" s="3201" t="s">
        <v>3099</v>
      </c>
    </row>
    <row r="12" spans="1:13" s="3201" customFormat="1" ht="12">
      <c r="A12" s="3201" t="s">
        <v>3100</v>
      </c>
      <c r="B12" s="3201" t="s">
        <v>3071</v>
      </c>
      <c r="C12" s="3201" t="s">
        <v>3072</v>
      </c>
      <c r="D12" s="3204">
        <v>26848</v>
      </c>
      <c r="E12" s="3204">
        <v>53696</v>
      </c>
      <c r="F12" s="3204" t="s">
        <v>3082</v>
      </c>
      <c r="G12" s="3204" t="s">
        <v>3074</v>
      </c>
      <c r="H12" s="3204" t="s">
        <v>3098</v>
      </c>
      <c r="I12" s="3204">
        <v>69000</v>
      </c>
      <c r="J12" s="3204">
        <v>69000</v>
      </c>
      <c r="K12" s="3204">
        <v>12850.12</v>
      </c>
      <c r="L12" s="3204">
        <v>0</v>
      </c>
      <c r="M12" s="3201" t="s">
        <v>3084</v>
      </c>
    </row>
    <row r="13" spans="1:13" s="3203" customFormat="1" ht="12">
      <c r="A13" s="3203" t="s">
        <v>3101</v>
      </c>
      <c r="B13" s="3203" t="s">
        <v>3071</v>
      </c>
      <c r="C13" s="3203" t="s">
        <v>3072</v>
      </c>
      <c r="D13" s="3206">
        <v>25668</v>
      </c>
      <c r="E13" s="3206">
        <v>64170</v>
      </c>
      <c r="F13" s="3206" t="s">
        <v>3102</v>
      </c>
      <c r="G13" s="3206" t="s">
        <v>3074</v>
      </c>
      <c r="H13" s="3206" t="s">
        <v>3103</v>
      </c>
      <c r="I13" s="3206">
        <v>115600</v>
      </c>
      <c r="J13" s="3206">
        <v>141000</v>
      </c>
      <c r="K13" s="3206">
        <v>21972.880000000001</v>
      </c>
      <c r="L13" s="3206">
        <v>21.97</v>
      </c>
      <c r="M13" s="3203" t="s">
        <v>3104</v>
      </c>
    </row>
    <row r="14" spans="1:13" s="3202" customFormat="1" ht="12">
      <c r="A14" s="3202" t="s">
        <v>3105</v>
      </c>
      <c r="B14" s="3202" t="s">
        <v>3071</v>
      </c>
      <c r="C14" s="3202" t="s">
        <v>3072</v>
      </c>
      <c r="D14" s="3205">
        <v>31456</v>
      </c>
      <c r="E14" s="3205">
        <v>75494.399999999994</v>
      </c>
      <c r="F14" s="3205" t="s">
        <v>3086</v>
      </c>
      <c r="G14" s="3205" t="s">
        <v>3074</v>
      </c>
      <c r="H14" s="3205" t="s">
        <v>3103</v>
      </c>
      <c r="I14" s="3205">
        <v>135900</v>
      </c>
      <c r="J14" s="3205">
        <v>173700</v>
      </c>
      <c r="K14" s="3205">
        <v>23008.33</v>
      </c>
      <c r="L14" s="3205">
        <v>27.81</v>
      </c>
      <c r="M14" s="3202" t="s">
        <v>3106</v>
      </c>
    </row>
    <row r="15" spans="1:13" s="3201" customFormat="1" ht="12">
      <c r="A15" s="3201" t="s">
        <v>3107</v>
      </c>
      <c r="B15" s="3201" t="s">
        <v>3071</v>
      </c>
      <c r="C15" s="3201" t="s">
        <v>3078</v>
      </c>
      <c r="D15" s="3204">
        <v>111444</v>
      </c>
      <c r="E15" s="3204">
        <v>334332</v>
      </c>
      <c r="F15" s="3204" t="s">
        <v>3108</v>
      </c>
      <c r="G15" s="3204" t="s">
        <v>3074</v>
      </c>
      <c r="H15" s="3204" t="s">
        <v>3103</v>
      </c>
      <c r="I15" s="3204">
        <v>494000</v>
      </c>
      <c r="J15" s="3204">
        <v>504000</v>
      </c>
      <c r="K15" s="3204">
        <v>15074.84</v>
      </c>
      <c r="L15" s="3204">
        <v>2.02</v>
      </c>
      <c r="M15" s="3201" t="s">
        <v>3109</v>
      </c>
    </row>
    <row r="16" spans="1:13" s="3201" customFormat="1" ht="12">
      <c r="A16" s="3201" t="s">
        <v>3110</v>
      </c>
      <c r="B16" s="3201" t="s">
        <v>3071</v>
      </c>
      <c r="C16" s="3201" t="s">
        <v>3072</v>
      </c>
      <c r="D16" s="3204">
        <v>77113</v>
      </c>
      <c r="E16" s="3204">
        <v>115669.5</v>
      </c>
      <c r="F16" s="3204" t="s">
        <v>3111</v>
      </c>
      <c r="G16" s="3204" t="s">
        <v>3074</v>
      </c>
      <c r="H16" s="3204" t="s">
        <v>3112</v>
      </c>
      <c r="I16" s="3204">
        <v>88300</v>
      </c>
      <c r="J16" s="3204">
        <v>88900</v>
      </c>
      <c r="K16" s="3204">
        <v>7685.68</v>
      </c>
      <c r="L16" s="3204">
        <v>0.68</v>
      </c>
      <c r="M16" s="3201" t="s">
        <v>3109</v>
      </c>
    </row>
    <row r="17" spans="1:13" s="3201" customFormat="1" ht="12">
      <c r="A17" s="3201" t="s">
        <v>3113</v>
      </c>
      <c r="B17" s="3201" t="s">
        <v>3071</v>
      </c>
      <c r="C17" s="3201" t="s">
        <v>3078</v>
      </c>
      <c r="D17" s="3204">
        <v>55489</v>
      </c>
      <c r="E17" s="3204">
        <v>138722.5</v>
      </c>
      <c r="F17" s="3204" t="s">
        <v>3114</v>
      </c>
      <c r="G17" s="3204" t="s">
        <v>3074</v>
      </c>
      <c r="H17" s="3204" t="s">
        <v>3112</v>
      </c>
      <c r="I17" s="3204">
        <v>176700</v>
      </c>
      <c r="J17" s="3204">
        <v>176700</v>
      </c>
      <c r="K17" s="3204">
        <v>12737.65</v>
      </c>
      <c r="L17" s="3204">
        <v>0</v>
      </c>
      <c r="M17" s="3201" t="s">
        <v>3115</v>
      </c>
    </row>
    <row r="18" spans="1:13" s="3201" customFormat="1" ht="12">
      <c r="A18" s="3201" t="s">
        <v>3116</v>
      </c>
      <c r="B18" s="3201" t="s">
        <v>3071</v>
      </c>
      <c r="C18" s="3201" t="s">
        <v>3072</v>
      </c>
      <c r="D18" s="3204">
        <v>48111</v>
      </c>
      <c r="E18" s="3204">
        <v>57733.2</v>
      </c>
      <c r="F18" s="3204" t="s">
        <v>3117</v>
      </c>
      <c r="G18" s="3204" t="s">
        <v>3074</v>
      </c>
      <c r="H18" s="3204" t="s">
        <v>3112</v>
      </c>
      <c r="I18" s="3204">
        <v>44100</v>
      </c>
      <c r="J18" s="3204">
        <v>57800</v>
      </c>
      <c r="K18" s="3204">
        <v>10011.56</v>
      </c>
      <c r="L18" s="3204">
        <v>31.07</v>
      </c>
      <c r="M18" s="3201" t="s">
        <v>3118</v>
      </c>
    </row>
    <row r="19" spans="1:13" s="3201" customFormat="1" ht="12">
      <c r="A19" s="3201" t="s">
        <v>3119</v>
      </c>
      <c r="B19" s="3201" t="s">
        <v>3071</v>
      </c>
      <c r="C19" s="3201" t="s">
        <v>3072</v>
      </c>
      <c r="D19" s="3204">
        <v>15988</v>
      </c>
      <c r="E19" s="3204">
        <v>19185.599999999999</v>
      </c>
      <c r="F19" s="3204" t="s">
        <v>3117</v>
      </c>
      <c r="G19" s="3204" t="s">
        <v>3074</v>
      </c>
      <c r="H19" s="3204" t="s">
        <v>3112</v>
      </c>
      <c r="I19" s="3204">
        <v>14700</v>
      </c>
      <c r="J19" s="3204">
        <v>14800</v>
      </c>
      <c r="K19" s="3204">
        <v>7714.11</v>
      </c>
      <c r="L19" s="3204">
        <v>0.68</v>
      </c>
      <c r="M19" s="3201" t="s">
        <v>3120</v>
      </c>
    </row>
    <row r="20" spans="1:13" s="3201" customFormat="1" ht="12">
      <c r="A20" s="3201" t="s">
        <v>3119</v>
      </c>
      <c r="B20" s="3201" t="s">
        <v>3071</v>
      </c>
      <c r="C20" s="3201" t="s">
        <v>3072</v>
      </c>
      <c r="D20" s="3204">
        <v>131987</v>
      </c>
      <c r="E20" s="3204">
        <v>158384.4</v>
      </c>
      <c r="F20" s="3204" t="s">
        <v>3117</v>
      </c>
      <c r="G20" s="3204" t="s">
        <v>3074</v>
      </c>
      <c r="H20" s="3204" t="s">
        <v>3112</v>
      </c>
      <c r="I20" s="3204">
        <v>120900</v>
      </c>
      <c r="J20" s="3204">
        <v>122500</v>
      </c>
      <c r="K20" s="3204">
        <v>7734.35</v>
      </c>
      <c r="L20" s="3204">
        <v>1.32</v>
      </c>
      <c r="M20" s="3201" t="s">
        <v>3091</v>
      </c>
    </row>
    <row r="21" spans="1:13" s="3201" customFormat="1" ht="12">
      <c r="A21" s="3201" t="s">
        <v>3121</v>
      </c>
      <c r="B21" s="3201" t="s">
        <v>3071</v>
      </c>
      <c r="C21" s="3201" t="s">
        <v>3072</v>
      </c>
      <c r="D21" s="3204">
        <v>24227</v>
      </c>
      <c r="E21" s="3204">
        <v>50876.7</v>
      </c>
      <c r="F21" s="3204" t="s">
        <v>3122</v>
      </c>
      <c r="G21" s="3204" t="s">
        <v>3123</v>
      </c>
      <c r="H21" s="3204" t="s">
        <v>3124</v>
      </c>
      <c r="I21" s="3204">
        <v>22000</v>
      </c>
      <c r="J21" s="3204">
        <v>31900</v>
      </c>
      <c r="K21" s="3204">
        <v>6270.06</v>
      </c>
      <c r="L21" s="3204">
        <v>45</v>
      </c>
      <c r="M21" s="3201" t="s">
        <v>3125</v>
      </c>
    </row>
    <row r="22" spans="1:13" s="3201" customFormat="1" ht="12">
      <c r="A22" s="3201" t="s">
        <v>3126</v>
      </c>
      <c r="B22" s="3201" t="s">
        <v>3071</v>
      </c>
      <c r="C22" s="3201" t="s">
        <v>3072</v>
      </c>
      <c r="D22" s="3204">
        <v>42320</v>
      </c>
      <c r="E22" s="3204">
        <v>88872</v>
      </c>
      <c r="F22" s="3204" t="s">
        <v>3122</v>
      </c>
      <c r="G22" s="3204" t="s">
        <v>3123</v>
      </c>
      <c r="H22" s="3204" t="s">
        <v>3124</v>
      </c>
      <c r="I22" s="3204">
        <v>38400</v>
      </c>
      <c r="J22" s="3204">
        <v>55700</v>
      </c>
      <c r="K22" s="3204">
        <v>6267.43</v>
      </c>
      <c r="L22" s="3204">
        <v>45.05</v>
      </c>
      <c r="M22" s="3201" t="s">
        <v>3127</v>
      </c>
    </row>
    <row r="23" spans="1:13" s="3201" customFormat="1" ht="12">
      <c r="A23" s="3201" t="s">
        <v>3128</v>
      </c>
      <c r="B23" s="3201" t="s">
        <v>3071</v>
      </c>
      <c r="C23" s="3201" t="s">
        <v>3072</v>
      </c>
      <c r="D23" s="3204">
        <v>58563</v>
      </c>
      <c r="E23" s="3204">
        <v>128838.6</v>
      </c>
      <c r="F23" s="3204" t="s">
        <v>3129</v>
      </c>
      <c r="G23" s="3204" t="s">
        <v>3123</v>
      </c>
      <c r="H23" s="3204" t="s">
        <v>3124</v>
      </c>
      <c r="I23" s="3204">
        <v>53100</v>
      </c>
      <c r="J23" s="3204">
        <v>77000</v>
      </c>
      <c r="K23" s="3204">
        <v>5976.47</v>
      </c>
      <c r="L23" s="3204">
        <v>45.01</v>
      </c>
      <c r="M23" s="3201" t="s">
        <v>3125</v>
      </c>
    </row>
    <row r="24" spans="1:13" s="3201" customFormat="1" ht="12">
      <c r="A24" s="3201" t="s">
        <v>3130</v>
      </c>
      <c r="B24" s="3201" t="s">
        <v>3071</v>
      </c>
      <c r="C24" s="3201" t="s">
        <v>3072</v>
      </c>
      <c r="D24" s="3204">
        <v>22885</v>
      </c>
      <c r="E24" s="3204">
        <v>27462</v>
      </c>
      <c r="F24" s="3204" t="s">
        <v>3131</v>
      </c>
      <c r="G24" s="3204" t="s">
        <v>3123</v>
      </c>
      <c r="H24" s="3204" t="s">
        <v>3124</v>
      </c>
      <c r="I24" s="3204">
        <v>12700</v>
      </c>
      <c r="J24" s="3204">
        <v>18500</v>
      </c>
      <c r="K24" s="3204">
        <v>6736.57</v>
      </c>
      <c r="L24" s="3204">
        <v>45.67</v>
      </c>
      <c r="M24" s="3201" t="s">
        <v>3125</v>
      </c>
    </row>
    <row r="25" spans="1:13" s="3201" customFormat="1" ht="12">
      <c r="A25" s="3201" t="s">
        <v>3132</v>
      </c>
      <c r="B25" s="3201" t="s">
        <v>3071</v>
      </c>
      <c r="C25" s="3201" t="s">
        <v>3072</v>
      </c>
      <c r="D25" s="3204">
        <v>45598</v>
      </c>
      <c r="E25" s="3204">
        <v>136794</v>
      </c>
      <c r="F25" s="3204" t="s">
        <v>3133</v>
      </c>
      <c r="G25" s="3204" t="s">
        <v>3074</v>
      </c>
      <c r="H25" s="3204" t="s">
        <v>3134</v>
      </c>
      <c r="I25" s="3204">
        <v>91200</v>
      </c>
      <c r="J25" s="3204">
        <v>125800</v>
      </c>
      <c r="K25" s="3204">
        <v>9196.2999999999993</v>
      </c>
      <c r="L25" s="3204">
        <v>37.94</v>
      </c>
      <c r="M25" s="3201" t="s">
        <v>3135</v>
      </c>
    </row>
    <row r="26" spans="1:13" s="3201" customFormat="1" ht="12">
      <c r="A26" s="3201" t="s">
        <v>3136</v>
      </c>
      <c r="B26" s="3201" t="s">
        <v>3071</v>
      </c>
      <c r="C26" s="3201" t="s">
        <v>3078</v>
      </c>
      <c r="D26" s="3204">
        <v>38258</v>
      </c>
      <c r="E26" s="3204">
        <v>114774</v>
      </c>
      <c r="F26" s="3204" t="s">
        <v>3137</v>
      </c>
      <c r="G26" s="3204" t="s">
        <v>3074</v>
      </c>
      <c r="H26" s="3204" t="s">
        <v>3138</v>
      </c>
      <c r="I26" s="3204">
        <v>149300</v>
      </c>
      <c r="J26" s="3204">
        <v>223900</v>
      </c>
      <c r="K26" s="3204">
        <v>19507.900000000001</v>
      </c>
      <c r="L26" s="3204">
        <v>49.97</v>
      </c>
      <c r="M26" s="3201" t="s">
        <v>3139</v>
      </c>
    </row>
    <row r="27" spans="1:13" s="3201" customFormat="1" ht="12">
      <c r="A27" s="3201" t="s">
        <v>3140</v>
      </c>
      <c r="B27" s="3201" t="s">
        <v>3071</v>
      </c>
      <c r="C27" s="3201" t="s">
        <v>3072</v>
      </c>
      <c r="D27" s="3204">
        <v>7848</v>
      </c>
      <c r="E27" s="3204">
        <v>14911.2</v>
      </c>
      <c r="F27" s="3204" t="s">
        <v>3141</v>
      </c>
      <c r="G27" s="3204" t="s">
        <v>3074</v>
      </c>
      <c r="H27" s="3204" t="s">
        <v>3138</v>
      </c>
      <c r="I27" s="3204">
        <v>22400</v>
      </c>
      <c r="J27" s="3204">
        <v>33500</v>
      </c>
      <c r="K27" s="3204">
        <v>22466.33</v>
      </c>
      <c r="L27" s="3204">
        <v>49.55</v>
      </c>
      <c r="M27" s="3201" t="s">
        <v>3142</v>
      </c>
    </row>
    <row r="28" spans="1:13" s="3201" customFormat="1" ht="12">
      <c r="A28" s="3201" t="s">
        <v>3143</v>
      </c>
      <c r="B28" s="3201" t="s">
        <v>3071</v>
      </c>
      <c r="C28" s="3201" t="s">
        <v>3072</v>
      </c>
      <c r="D28" s="3204">
        <v>14548</v>
      </c>
      <c r="E28" s="3204">
        <v>34915.199999999997</v>
      </c>
      <c r="F28" s="3204" t="s">
        <v>3144</v>
      </c>
      <c r="G28" s="3204" t="s">
        <v>3074</v>
      </c>
      <c r="H28" s="3204" t="s">
        <v>3145</v>
      </c>
      <c r="I28" s="3204">
        <v>31100</v>
      </c>
      <c r="J28" s="3204">
        <v>52100</v>
      </c>
      <c r="K28" s="3204">
        <v>14921.87</v>
      </c>
      <c r="L28" s="3204">
        <v>67.52</v>
      </c>
      <c r="M28" s="3201" t="s">
        <v>3146</v>
      </c>
    </row>
    <row r="29" spans="1:13" s="3201" customFormat="1" ht="12">
      <c r="A29" s="3201" t="s">
        <v>3147</v>
      </c>
      <c r="B29" s="3201" t="s">
        <v>3071</v>
      </c>
      <c r="C29" s="3201" t="s">
        <v>3078</v>
      </c>
      <c r="D29" s="3204">
        <v>18310</v>
      </c>
      <c r="E29" s="3204">
        <v>80564</v>
      </c>
      <c r="F29" s="3204" t="s">
        <v>3148</v>
      </c>
      <c r="G29" s="3204" t="s">
        <v>3074</v>
      </c>
      <c r="H29" s="3204" t="s">
        <v>3145</v>
      </c>
      <c r="I29" s="3204">
        <v>64500</v>
      </c>
      <c r="J29" s="3204">
        <v>120000</v>
      </c>
      <c r="K29" s="3204">
        <v>14894.98</v>
      </c>
      <c r="L29" s="3204">
        <v>86.05</v>
      </c>
      <c r="M29" s="3201" t="s">
        <v>3149</v>
      </c>
    </row>
    <row r="30" spans="1:13" s="3201" customFormat="1" ht="12">
      <c r="A30" s="3201" t="s">
        <v>3150</v>
      </c>
      <c r="B30" s="3201" t="s">
        <v>3071</v>
      </c>
      <c r="C30" s="3201" t="s">
        <v>3078</v>
      </c>
      <c r="D30" s="3204">
        <v>66872</v>
      </c>
      <c r="E30" s="3204">
        <v>170261.3</v>
      </c>
      <c r="F30" s="3204" t="s">
        <v>3151</v>
      </c>
      <c r="G30" s="3204" t="s">
        <v>3074</v>
      </c>
      <c r="H30" s="3204" t="s">
        <v>3152</v>
      </c>
      <c r="I30" s="3204">
        <v>108700</v>
      </c>
      <c r="J30" s="3204">
        <v>191000</v>
      </c>
      <c r="K30" s="3204">
        <v>11218.04</v>
      </c>
      <c r="L30" s="3204">
        <v>75.709999999999994</v>
      </c>
      <c r="M30" s="3201" t="s">
        <v>3153</v>
      </c>
    </row>
    <row r="31" spans="1:13" s="3201" customFormat="1" ht="12">
      <c r="A31" s="3201" t="s">
        <v>3154</v>
      </c>
      <c r="B31" s="3201" t="s">
        <v>3071</v>
      </c>
      <c r="C31" s="3201" t="s">
        <v>3078</v>
      </c>
      <c r="D31" s="3204">
        <v>72228</v>
      </c>
      <c r="E31" s="3204">
        <v>268923</v>
      </c>
      <c r="F31" s="3204" t="s">
        <v>3155</v>
      </c>
      <c r="G31" s="3204" t="s">
        <v>3074</v>
      </c>
      <c r="H31" s="3204" t="s">
        <v>3152</v>
      </c>
      <c r="I31" s="3204">
        <v>293000</v>
      </c>
      <c r="J31" s="3204">
        <v>441000</v>
      </c>
      <c r="K31" s="3204">
        <v>16398.75</v>
      </c>
      <c r="L31" s="3204">
        <v>50.51</v>
      </c>
      <c r="M31" s="3201" t="s">
        <v>3156</v>
      </c>
    </row>
    <row r="32" spans="1:13" s="3201" customFormat="1" ht="12">
      <c r="A32" s="3201" t="s">
        <v>3157</v>
      </c>
      <c r="B32" s="3201" t="s">
        <v>3071</v>
      </c>
      <c r="C32" s="3201" t="s">
        <v>3078</v>
      </c>
      <c r="D32" s="3204">
        <v>63648</v>
      </c>
      <c r="E32" s="3204">
        <v>216403.20000000001</v>
      </c>
      <c r="F32" s="3204" t="s">
        <v>3158</v>
      </c>
      <c r="G32" s="3204" t="s">
        <v>3074</v>
      </c>
      <c r="H32" s="3204" t="s">
        <v>3159</v>
      </c>
      <c r="I32" s="3204">
        <v>137800</v>
      </c>
      <c r="J32" s="3204">
        <v>323000</v>
      </c>
      <c r="K32" s="3204">
        <v>14925.84</v>
      </c>
      <c r="L32" s="3204">
        <v>134.4</v>
      </c>
      <c r="M32" s="3201" t="s">
        <v>3160</v>
      </c>
    </row>
    <row r="33" spans="1:13" s="3201" customFormat="1" ht="12">
      <c r="A33" s="3201" t="s">
        <v>3161</v>
      </c>
      <c r="B33" s="3201" t="s">
        <v>3071</v>
      </c>
      <c r="C33" s="3201" t="s">
        <v>3078</v>
      </c>
      <c r="D33" s="3204">
        <v>16482</v>
      </c>
      <c r="E33" s="3204">
        <v>69224.399999999994</v>
      </c>
      <c r="F33" s="3204" t="s">
        <v>3162</v>
      </c>
      <c r="G33" s="3204" t="s">
        <v>3074</v>
      </c>
      <c r="H33" s="3204" t="s">
        <v>3163</v>
      </c>
      <c r="I33" s="3204">
        <v>43000</v>
      </c>
      <c r="J33" s="3204">
        <v>64000</v>
      </c>
      <c r="K33" s="3204">
        <v>9245.2900000000009</v>
      </c>
      <c r="L33" s="3204">
        <v>48.84</v>
      </c>
      <c r="M33" s="3201" t="s">
        <v>3164</v>
      </c>
    </row>
    <row r="34" spans="1:13" s="3201" customFormat="1" ht="12">
      <c r="A34" s="3201" t="s">
        <v>3165</v>
      </c>
      <c r="B34" s="3201" t="s">
        <v>3071</v>
      </c>
      <c r="C34" s="3201" t="s">
        <v>3078</v>
      </c>
      <c r="D34" s="3204">
        <v>24622</v>
      </c>
      <c r="E34" s="3204">
        <v>37425.440000000002</v>
      </c>
      <c r="F34" s="3204" t="s">
        <v>3166</v>
      </c>
      <c r="G34" s="3204" t="s">
        <v>3074</v>
      </c>
      <c r="H34" s="3204" t="s">
        <v>3163</v>
      </c>
      <c r="I34" s="3204">
        <v>25700</v>
      </c>
      <c r="J34" s="3204">
        <v>58100</v>
      </c>
      <c r="K34" s="3204">
        <v>15524.2</v>
      </c>
      <c r="L34" s="3204">
        <v>126.07</v>
      </c>
      <c r="M34" s="3201" t="s">
        <v>3164</v>
      </c>
    </row>
    <row r="35" spans="1:13" s="3201" customFormat="1" ht="12">
      <c r="A35" s="3201" t="s">
        <v>3167</v>
      </c>
      <c r="B35" s="3201" t="s">
        <v>3071</v>
      </c>
      <c r="C35" s="3201" t="s">
        <v>3078</v>
      </c>
      <c r="D35" s="3204">
        <v>41615</v>
      </c>
      <c r="E35" s="3204">
        <v>122764.3</v>
      </c>
      <c r="F35" s="3204" t="s">
        <v>3168</v>
      </c>
      <c r="G35" s="3204" t="s">
        <v>3074</v>
      </c>
      <c r="H35" s="3204" t="s">
        <v>3169</v>
      </c>
      <c r="I35" s="3204">
        <v>62600</v>
      </c>
      <c r="J35" s="3204">
        <v>236000</v>
      </c>
      <c r="K35" s="3204">
        <v>19223.830000000002</v>
      </c>
      <c r="L35" s="3204">
        <v>277</v>
      </c>
      <c r="M35" s="3201"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workbookViewId="0">
      <selection activeCell="M24" sqref="M24"/>
    </sheetView>
  </sheetViews>
  <sheetFormatPr defaultRowHeight="13.5"/>
  <sheetData>
    <row r="1" spans="1:1">
      <c r="A1" s="3171" t="s">
        <v>3209</v>
      </c>
    </row>
    <row r="37" spans="1:1">
      <c r="A37" s="3171" t="s">
        <v>3210</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07"/>
    <col min="2" max="2" width="15.75" style="3207" customWidth="1"/>
    <col min="3" max="3" width="13.625" style="3207" customWidth="1"/>
    <col min="4" max="4" width="20.875" style="3207" customWidth="1"/>
  </cols>
  <sheetData>
    <row r="1" spans="1:5">
      <c r="A1" s="3209" t="s">
        <v>3238</v>
      </c>
      <c r="B1" s="3209"/>
      <c r="C1" s="3209" t="s">
        <v>3239</v>
      </c>
      <c r="D1" s="3209" t="s">
        <v>3253</v>
      </c>
      <c r="E1" s="3209" t="s">
        <v>3251</v>
      </c>
    </row>
    <row r="2" spans="1:5">
      <c r="A2" s="3207">
        <v>1</v>
      </c>
      <c r="B2" s="3537" t="s">
        <v>3244</v>
      </c>
      <c r="C2" s="3209" t="s">
        <v>3240</v>
      </c>
      <c r="D2" s="3207">
        <f>'数据-基础表'!I13</f>
        <v>24312.92</v>
      </c>
      <c r="E2" s="3538">
        <f>D2+D3</f>
        <v>24312.92</v>
      </c>
    </row>
    <row r="3" spans="1:5">
      <c r="A3" s="3207">
        <v>2</v>
      </c>
      <c r="B3" s="3538"/>
      <c r="C3" s="3209" t="s">
        <v>3241</v>
      </c>
      <c r="D3" s="3207">
        <f>'数据-基础表'!O18</f>
        <v>0</v>
      </c>
      <c r="E3" s="3538"/>
    </row>
    <row r="4" spans="1:5">
      <c r="A4" s="3207">
        <v>3</v>
      </c>
      <c r="B4" s="3538"/>
      <c r="C4" s="3209" t="s">
        <v>3242</v>
      </c>
      <c r="D4" s="3207">
        <f>'数据-基础表'!K14</f>
        <v>3000</v>
      </c>
      <c r="E4" s="3171" t="s">
        <v>3250</v>
      </c>
    </row>
    <row r="5" spans="1:5">
      <c r="A5" s="3207">
        <v>4</v>
      </c>
      <c r="B5" s="3538"/>
      <c r="C5" s="3209" t="s">
        <v>3243</v>
      </c>
      <c r="D5" s="3207">
        <f>'数据-基础表'!M15</f>
        <v>28630</v>
      </c>
      <c r="E5" s="3171" t="s">
        <v>3249</v>
      </c>
    </row>
    <row r="6" spans="1:5">
      <c r="A6" s="3207">
        <v>5</v>
      </c>
      <c r="B6" s="3537" t="s">
        <v>3245</v>
      </c>
      <c r="C6" s="3209" t="s">
        <v>3246</v>
      </c>
      <c r="D6" s="3207">
        <f>'数据-基础表'!AD16</f>
        <v>0</v>
      </c>
      <c r="E6" s="3171" t="s">
        <v>3250</v>
      </c>
    </row>
    <row r="7" spans="1:5">
      <c r="A7" s="3207">
        <v>6</v>
      </c>
      <c r="B7" s="3537"/>
      <c r="C7" s="3209" t="s">
        <v>3247</v>
      </c>
      <c r="D7" s="3207">
        <f>'数据-基础表'!AN17</f>
        <v>0</v>
      </c>
      <c r="E7" s="3171" t="s">
        <v>3252</v>
      </c>
    </row>
    <row r="8" spans="1:5">
      <c r="C8" s="3209" t="s">
        <v>3248</v>
      </c>
      <c r="D8" s="3207">
        <v>4879.99</v>
      </c>
    </row>
    <row r="9" spans="1:5">
      <c r="D9" s="3207">
        <f>SUM(D2:D8)</f>
        <v>60822.909999999996</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2039</v>
      </c>
      <c r="B1" s="3227"/>
      <c r="C1" s="3227"/>
      <c r="D1" s="3227"/>
      <c r="E1" s="3227"/>
      <c r="F1" s="3227"/>
      <c r="G1" s="3227"/>
      <c r="H1" s="3227"/>
      <c r="I1" s="3227"/>
      <c r="J1" s="3227"/>
      <c r="K1" s="3227"/>
      <c r="L1" s="3227"/>
      <c r="M1" s="3227"/>
      <c r="N1" s="3227"/>
      <c r="O1" s="3227"/>
      <c r="P1" s="3227"/>
      <c r="Q1" s="3227"/>
      <c r="R1" s="3227"/>
    </row>
    <row r="2" spans="1:18">
      <c r="A2" s="1803" t="s">
        <v>2041</v>
      </c>
      <c r="B2" s="1803"/>
      <c r="C2" s="1803"/>
      <c r="D2" s="1803"/>
      <c r="E2" s="1803"/>
      <c r="F2" s="1803"/>
      <c r="G2" s="1803"/>
      <c r="H2" s="1803"/>
      <c r="I2" s="1804"/>
      <c r="J2" s="1804"/>
      <c r="K2" s="1805" t="str">
        <f>"估价期日："&amp;TEXT(项目基本情况!D3,"yyyy年m月d日;;")</f>
        <v>估价期日：2018年8月16日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8" t="s">
        <v>2030</v>
      </c>
      <c r="B3" s="3228" t="s">
        <v>2731</v>
      </c>
      <c r="C3" s="3229" t="s">
        <v>2031</v>
      </c>
      <c r="D3" s="3228" t="s">
        <v>2735</v>
      </c>
      <c r="E3" s="3231" t="s">
        <v>2032</v>
      </c>
      <c r="F3" s="3231"/>
      <c r="G3" s="3231"/>
      <c r="H3" s="3231" t="s">
        <v>2033</v>
      </c>
      <c r="I3" s="3231"/>
      <c r="J3" s="3231"/>
      <c r="K3" s="3229" t="s">
        <v>2034</v>
      </c>
      <c r="L3" s="3229" t="s">
        <v>2035</v>
      </c>
      <c r="M3" s="3228" t="s">
        <v>2732</v>
      </c>
      <c r="N3" s="3230" t="str">
        <f>"（分摊）"&amp;项目基本情况!B16&amp;"国有建设用地使用权面积/㎡"</f>
        <v>（分摊）出让国有建设用地使用权面积/㎡</v>
      </c>
      <c r="O3" s="3228" t="s">
        <v>2064</v>
      </c>
      <c r="P3" s="3229" t="s">
        <v>2044</v>
      </c>
      <c r="Q3" s="3229" t="s">
        <v>2065</v>
      </c>
      <c r="R3" s="3229" t="s">
        <v>2036</v>
      </c>
    </row>
    <row r="4" spans="1:18" ht="36.75" customHeight="1">
      <c r="A4" s="3228"/>
      <c r="B4" s="3228"/>
      <c r="C4" s="3229"/>
      <c r="D4" s="3228"/>
      <c r="E4" s="2645" t="s">
        <v>2043</v>
      </c>
      <c r="F4" s="2645" t="s">
        <v>2744</v>
      </c>
      <c r="G4" s="2645" t="s">
        <v>2037</v>
      </c>
      <c r="H4" s="2645" t="s">
        <v>2038</v>
      </c>
      <c r="I4" s="2645" t="s">
        <v>2745</v>
      </c>
      <c r="J4" s="2645" t="s">
        <v>2037</v>
      </c>
      <c r="K4" s="3229"/>
      <c r="L4" s="3229"/>
      <c r="M4" s="3228"/>
      <c r="N4" s="3230"/>
      <c r="O4" s="3228"/>
      <c r="P4" s="3229"/>
      <c r="Q4" s="3229"/>
      <c r="R4" s="3229"/>
    </row>
    <row r="5" spans="1:18" ht="135" customHeight="1">
      <c r="A5" s="1939" t="s">
        <v>2655</v>
      </c>
      <c r="B5" s="2863" t="s">
        <v>2653</v>
      </c>
      <c r="C5" s="2644">
        <v>22</v>
      </c>
      <c r="D5" s="2643" t="s">
        <v>2654</v>
      </c>
      <c r="E5" s="1806" t="str">
        <f>项目基本情况!B12</f>
        <v>批发零售用地、城镇住宅用地</v>
      </c>
      <c r="F5" s="2643">
        <v>258</v>
      </c>
      <c r="G5" s="1806" t="str">
        <f>项目基本情况!B13</f>
        <v>住宅、商业、地下车库</v>
      </c>
      <c r="H5" s="2643">
        <v>1.5</v>
      </c>
      <c r="I5" s="2643">
        <v>1.5</v>
      </c>
      <c r="J5" s="2643">
        <v>1.5</v>
      </c>
      <c r="K5" s="1806" t="str">
        <f>"红线外"&amp;项目基本情况!T40&amp;"、宗地红线内"&amp;项目基本情况!B35</f>
        <v>红线外五通、宗地红线内场地平整</v>
      </c>
      <c r="L5" s="1806" t="str">
        <f>"红线外"&amp;项目基本情况!T40&amp;"、宗地红线内场地"&amp;项目基本情况!D36</f>
        <v>红线外五通、宗地红线内场地平整</v>
      </c>
      <c r="M5" s="1806" t="str">
        <f>IF(项目基本情况!B16="出让",项目基本情况!D20,"——")</f>
        <v>住宅69.5年、地下商业39.5年、地下车库49.5年</v>
      </c>
      <c r="N5" s="1806">
        <f>项目基本情况!C22</f>
        <v>17908.099999999999</v>
      </c>
      <c r="O5" s="1806">
        <f>项目基本情况!C21</f>
        <v>57683.92</v>
      </c>
      <c r="P5" s="1806">
        <f ca="1">结果表!E42</f>
        <v>46191</v>
      </c>
      <c r="Q5" s="1806">
        <f ca="1">结果表!D42</f>
        <v>14340</v>
      </c>
      <c r="R5" s="1807">
        <f ca="1">结果表!C42</f>
        <v>82720</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808">
        <f ca="1">结果表!O39</f>
        <v>82720</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808"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236" t="s">
        <v>2066</v>
      </c>
      <c r="B1" s="3236"/>
      <c r="C1" s="3236"/>
      <c r="D1" s="3236"/>
    </row>
    <row r="2" spans="1:4" ht="47.25" customHeight="1">
      <c r="A2" s="3237" t="str">
        <f>"1.权利限制："&amp;项目基本情况!L24&amp;"未设定租赁等其他他项权利。"</f>
        <v>1.权利限制：根据估价对象《不动产权证书》原件，截至估价期日，估价对象已设定抵押。未设定租赁等其他他项权利。</v>
      </c>
      <c r="B2" s="3237"/>
      <c r="C2" s="3237"/>
      <c r="D2" s="3237"/>
    </row>
    <row r="3" spans="1:4" ht="48" customHeight="1">
      <c r="A3" s="3236"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36"/>
      <c r="C3" s="3236"/>
      <c r="D3" s="3236"/>
    </row>
    <row r="4" spans="1:4" ht="36.75" customHeight="1">
      <c r="A4" s="3236" t="str">
        <f>"3.估价规划限制条件：详见"&amp;项目基本情况!E21&amp;"。"</f>
        <v>3.估价规划限制条件：详见。</v>
      </c>
      <c r="B4" s="3236"/>
      <c r="C4" s="3236"/>
      <c r="D4" s="3236"/>
    </row>
    <row r="5" spans="1:4">
      <c r="A5" s="3235" t="s">
        <v>2067</v>
      </c>
      <c r="B5" s="3235"/>
      <c r="C5" s="3235"/>
      <c r="D5" s="3235"/>
    </row>
    <row r="6" spans="1:4">
      <c r="A6" s="3236" t="s">
        <v>2045</v>
      </c>
      <c r="B6" s="3236"/>
      <c r="C6" s="3236"/>
      <c r="D6" s="3236"/>
    </row>
    <row r="7" spans="1:4" ht="33" customHeight="1">
      <c r="A7" s="3236" t="s">
        <v>2575</v>
      </c>
      <c r="B7" s="3236"/>
      <c r="C7" s="3236"/>
      <c r="D7" s="3236"/>
    </row>
    <row r="8" spans="1:4" ht="32.25" customHeight="1">
      <c r="A8" s="32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6"/>
      <c r="C8" s="3236"/>
      <c r="D8" s="3236"/>
    </row>
    <row r="9" spans="1:4" ht="33.75" customHeight="1">
      <c r="A9" s="32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6"/>
      <c r="C9" s="3236"/>
      <c r="D9" s="3236"/>
    </row>
    <row r="10" spans="1:4">
      <c r="A10" s="3236" t="str">
        <f>IF(项目基本情况!B8="抵押","4.估价师所知悉的法定优先受偿款情况为：","——")</f>
        <v>4.估价师所知悉的法定优先受偿款情况为：</v>
      </c>
      <c r="B10" s="3236"/>
      <c r="C10" s="3236"/>
      <c r="D10" s="3236"/>
    </row>
    <row r="11" spans="1:4" ht="37.5" customHeight="1">
      <c r="A11" s="3238"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238"/>
      <c r="C11" s="3238"/>
      <c r="D11" s="3238"/>
    </row>
    <row r="12" spans="1:4" ht="168" customHeight="1">
      <c r="A12" s="3235" t="s">
        <v>2069</v>
      </c>
      <c r="B12" s="3235"/>
      <c r="C12" s="3235"/>
      <c r="D12" s="3235"/>
    </row>
    <row r="13" spans="1:4">
      <c r="A13" s="3239" t="s">
        <v>2746</v>
      </c>
      <c r="B13" s="3239"/>
      <c r="C13" s="3239"/>
      <c r="D13" s="3239"/>
    </row>
    <row r="14" spans="1:4">
      <c r="A14" s="3238" t="str">
        <f>IF(项目基本情况!B8="抵押","综上，"&amp;结果表!K47,"——")</f>
        <v>综上，本次评估不存在估价师知悉的法定优先受偿款</v>
      </c>
      <c r="B14" s="3238"/>
      <c r="C14" s="3238"/>
      <c r="D14" s="3238"/>
    </row>
    <row r="15" spans="1:4" ht="58.5" customHeight="1">
      <c r="A15" s="32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6"/>
      <c r="C15" s="3236"/>
      <c r="D15" s="3236"/>
    </row>
    <row r="16" spans="1:4" ht="70.5" customHeight="1">
      <c r="A16" s="32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6"/>
      <c r="C16" s="3236"/>
      <c r="D16" s="3236"/>
    </row>
    <row r="17" spans="1:4">
      <c r="A17" s="3236" t="s">
        <v>2702</v>
      </c>
      <c r="B17" s="3236"/>
      <c r="C17" s="3236"/>
      <c r="D17" s="3236"/>
    </row>
    <row r="18" spans="1:4">
      <c r="A18" s="3236" t="s">
        <v>2694</v>
      </c>
      <c r="B18" s="3236"/>
      <c r="C18" s="3236"/>
      <c r="D18" s="3236"/>
    </row>
    <row r="19" spans="1:4">
      <c r="A19" s="2864" t="s">
        <v>2695</v>
      </c>
      <c r="B19" s="2864" t="s">
        <v>2696</v>
      </c>
      <c r="C19" s="2864" t="s">
        <v>2697</v>
      </c>
      <c r="D19" s="2864" t="s">
        <v>2698</v>
      </c>
    </row>
    <row r="20" spans="1:4">
      <c r="A20" s="2864" t="str">
        <f>项目基本情况!B4</f>
        <v>郑燚</v>
      </c>
      <c r="B20" s="2864">
        <f>项目基本情况!C4</f>
        <v>2014110011</v>
      </c>
      <c r="C20" s="2866"/>
      <c r="D20" s="1796" t="s">
        <v>2703</v>
      </c>
    </row>
    <row r="21" spans="1:4">
      <c r="A21" s="2864" t="str">
        <f>项目基本情况!D4</f>
        <v>王鹏</v>
      </c>
      <c r="B21" s="2864">
        <f ca="1">项目基本情况!E4</f>
        <v>2002110030</v>
      </c>
      <c r="C21" s="2866"/>
      <c r="D21" s="1796" t="s">
        <v>2704</v>
      </c>
    </row>
    <row r="23" spans="1:4">
      <c r="A23" s="3236" t="s">
        <v>2699</v>
      </c>
      <c r="B23" s="3236"/>
      <c r="C23" s="3236"/>
      <c r="D23" s="3236"/>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47" t="s">
        <v>53</v>
      </c>
      <c r="B15" s="3248" t="s">
        <v>846</v>
      </c>
      <c r="C15" s="3244"/>
    </row>
    <row r="16" spans="1:7" ht="14.25">
      <c r="A16" s="3247"/>
      <c r="B16" s="3245" t="s">
        <v>54</v>
      </c>
      <c r="C16" s="1170" t="s">
        <v>53</v>
      </c>
    </row>
    <row r="17" spans="1:3" ht="14.25">
      <c r="A17" s="3247"/>
      <c r="B17" s="3245"/>
      <c r="C17" s="1170" t="s">
        <v>55</v>
      </c>
    </row>
    <row r="18" spans="1:3" ht="14.25">
      <c r="A18" s="3247"/>
      <c r="B18" s="3245"/>
      <c r="C18" s="1170" t="s">
        <v>56</v>
      </c>
    </row>
    <row r="19" spans="1:3" ht="14.25">
      <c r="A19" s="3247"/>
      <c r="B19" s="3243" t="s">
        <v>57</v>
      </c>
      <c r="C19" s="3244"/>
    </row>
    <row r="20" spans="1:3" ht="14.25">
      <c r="A20" s="1171" t="s">
        <v>58</v>
      </c>
      <c r="B20" s="1172"/>
      <c r="C20" s="1173"/>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4" t="s">
        <v>837</v>
      </c>
    </row>
    <row r="25" spans="1:3" ht="14.25">
      <c r="A25" s="3246"/>
      <c r="B25" s="3250"/>
      <c r="C25" s="1174" t="s">
        <v>838</v>
      </c>
    </row>
    <row r="26" spans="1:3" ht="14.25">
      <c r="A26" s="3246"/>
      <c r="B26" s="3250"/>
      <c r="C26" s="1174" t="s">
        <v>839</v>
      </c>
    </row>
    <row r="27" spans="1:3" ht="14.25">
      <c r="A27" s="3246"/>
      <c r="B27" s="3250"/>
      <c r="C27" s="1174" t="s">
        <v>840</v>
      </c>
    </row>
    <row r="28" spans="1:3" ht="14.25">
      <c r="A28" s="3246"/>
      <c r="B28" s="3250"/>
      <c r="C28" s="1174" t="s">
        <v>841</v>
      </c>
    </row>
    <row r="29" spans="1:3" ht="14.25">
      <c r="A29" s="3246"/>
      <c r="B29" s="3250"/>
      <c r="C29" s="1174" t="s">
        <v>842</v>
      </c>
    </row>
    <row r="30" spans="1:3" ht="14.25">
      <c r="A30" s="3246"/>
      <c r="B30" s="3250"/>
      <c r="C30" s="1174" t="s">
        <v>843</v>
      </c>
    </row>
    <row r="31" spans="1:3" ht="14.25">
      <c r="A31" s="3246"/>
      <c r="B31" s="3250"/>
      <c r="C31" s="1174" t="s">
        <v>844</v>
      </c>
    </row>
    <row r="32" spans="1:3" ht="14.25">
      <c r="A32" s="3246"/>
      <c r="B32" s="3250"/>
      <c r="C32" s="1174" t="s">
        <v>1647</v>
      </c>
    </row>
    <row r="33" spans="1:3" ht="14.25">
      <c r="A33" s="3246"/>
      <c r="B33" s="3240" t="s">
        <v>1653</v>
      </c>
      <c r="C33" s="1174" t="s">
        <v>1648</v>
      </c>
    </row>
    <row r="34" spans="1:3" ht="14.25">
      <c r="A34" s="3246"/>
      <c r="B34" s="3241"/>
      <c r="C34" s="1179" t="s">
        <v>1649</v>
      </c>
    </row>
    <row r="35" spans="1:3" ht="14.25">
      <c r="A35" s="3246"/>
      <c r="B35" s="3241"/>
      <c r="C35" s="1180" t="s">
        <v>1650</v>
      </c>
    </row>
    <row r="36" spans="1:3" ht="14.25">
      <c r="A36" s="3246"/>
      <c r="B36" s="3241"/>
      <c r="C36" s="1180" t="s">
        <v>1651</v>
      </c>
    </row>
    <row r="37" spans="1:3" ht="14.25">
      <c r="A37" s="3246"/>
      <c r="B37" s="324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4">
        <f ca="1">TODAY()</f>
        <v>43342</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43359</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2968</v>
      </c>
      <c r="B12" s="2339">
        <v>1120110054</v>
      </c>
      <c r="C12" s="3002">
        <v>43937</v>
      </c>
      <c r="D12" s="2339" t="s">
        <v>2968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2054</v>
      </c>
      <c r="B24" s="2341" t="s">
        <v>2054</v>
      </c>
      <c r="C24" s="3002"/>
      <c r="D24" s="3004" t="s">
        <v>2054</v>
      </c>
      <c r="E24" s="2341" t="s">
        <v>2054</v>
      </c>
      <c r="F24" s="2342"/>
    </row>
    <row r="25" spans="1:7" ht="20.25" customHeight="1">
      <c r="A25" s="3251" t="s">
        <v>1929</v>
      </c>
      <c r="B25" s="3251"/>
      <c r="C25" s="3251"/>
      <c r="D25" s="3251"/>
      <c r="E25" s="3251"/>
      <c r="F25" s="3251"/>
      <c r="G25" s="3251"/>
    </row>
    <row r="26" spans="1:7" ht="20.25" customHeight="1">
      <c r="A26" s="3252" t="s">
        <v>1930</v>
      </c>
      <c r="B26" s="3252"/>
      <c r="C26" s="3252"/>
      <c r="D26" s="3252" t="s">
        <v>1931</v>
      </c>
      <c r="E26" s="3252"/>
      <c r="F26" s="3252"/>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28" sqref="A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5" t="s">
        <v>2946</v>
      </c>
      <c r="C18" s="1551"/>
    </row>
    <row r="19" spans="1:3">
      <c r="A19" s="8" t="s">
        <v>120</v>
      </c>
      <c r="B19" s="3105" t="s">
        <v>2954</v>
      </c>
      <c r="C19" s="1551"/>
    </row>
    <row r="20" spans="1:3">
      <c r="A20" s="8" t="s">
        <v>121</v>
      </c>
      <c r="B20" s="3105" t="s">
        <v>3056</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3105" t="s">
        <v>3273</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福州盛景阳光城房地产开发有限公司拟使用福建省福州市鼓楼区五一中路以东，龙庭路南北侧，五一新城地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53"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五通”、宗地内场地平整，设定用途为住宅、商业、地下车库，剩余土地使用年限为住宅69.5年、地下商业39.5年、地下车库49.5年的出让国有建设用地使用权价格。</v>
      </c>
      <c r="D53" s="1763"/>
      <c r="E53" s="1763"/>
    </row>
    <row r="54" spans="1:5">
      <c r="A54" s="3253"/>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53"/>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53"/>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53"/>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150</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2018-08-20T08:12:30Z</cp:lastPrinted>
  <dcterms:created xsi:type="dcterms:W3CDTF">2015-07-13T07:17:23Z</dcterms:created>
  <dcterms:modified xsi:type="dcterms:W3CDTF">2018-08-30T01:51:24Z</dcterms:modified>
</cp:coreProperties>
</file>