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计算过程" sheetId="81" r:id="rId17"/>
    <sheet name="部分租赁合同" sheetId="86" r:id="rId18"/>
    <sheet name="造价构成分析" sheetId="80"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state="hidden" r:id="rId25"/>
    <sheet name="土地比较法-工业" sheetId="40" r:id="rId26"/>
    <sheet name="土地案例" sheetId="82"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r:id="rId34"/>
    <sheet name="比较法-办公" sheetId="34" r:id="rId35"/>
    <sheet name="比较法-车位" sheetId="35" state="hidden" r:id="rId36"/>
    <sheet name="比较法-仓储" sheetId="36"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仓库" sheetId="83" r:id="rId50"/>
    <sheet name="办公" sheetId="84" r:id="rId51"/>
    <sheet name="城市基础设施建设费" sheetId="88" r:id="rId52"/>
    <sheet name="Sheet6" sheetId="85" r:id="rId53"/>
    <sheet name="天津基准地价修正体系" sheetId="87" r:id="rId54"/>
  </sheets>
  <externalReferences>
    <externalReference r:id="rId55"/>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2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20">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25">'土地比较法-工业'!$A$1:$K$61,'土地比较法-工业'!$A$64:$M$121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H6" i="1" l="1"/>
  <c r="L21" i="81"/>
  <c r="L20" i="81"/>
  <c r="I41" i="40"/>
  <c r="G41" i="40"/>
  <c r="E41" i="40"/>
  <c r="G11" i="86" l="1"/>
  <c r="K13" i="3"/>
  <c r="G19" i="6" s="1"/>
  <c r="I13" i="3" l="1"/>
  <c r="V21" i="1"/>
  <c r="R26" i="81"/>
  <c r="J7" i="86"/>
  <c r="I7" i="86"/>
  <c r="H7" i="86"/>
  <c r="H10" i="86" s="1"/>
  <c r="M14" i="81" l="1"/>
  <c r="K5" i="86"/>
  <c r="I4" i="86"/>
  <c r="G4" i="86" s="1"/>
  <c r="G48" i="34" l="1"/>
  <c r="E48" i="34"/>
  <c r="O21" i="81"/>
  <c r="S23" i="81"/>
  <c r="R14" i="81"/>
  <c r="R13" i="81"/>
  <c r="R12" i="81"/>
  <c r="R11" i="81"/>
  <c r="R23" i="81" s="1"/>
  <c r="Q20" i="81" l="1"/>
  <c r="J5" i="81"/>
  <c r="Q23" i="81" l="1"/>
  <c r="L33" i="81"/>
  <c r="L29" i="81" l="1"/>
  <c r="L28" i="81"/>
  <c r="G41" i="37"/>
  <c r="O42" i="84"/>
  <c r="O41" i="84"/>
  <c r="P41" i="84"/>
  <c r="H5" i="86" l="1"/>
  <c r="AB25" i="1"/>
  <c r="H9" i="86" l="1"/>
  <c r="H11" i="86" s="1"/>
  <c r="G12" i="86" s="1"/>
  <c r="J5" i="86"/>
  <c r="P17" i="81"/>
  <c r="P18" i="81"/>
  <c r="P19" i="81"/>
  <c r="P20" i="81"/>
  <c r="P21" i="81"/>
  <c r="N17" i="81"/>
  <c r="N21" i="81"/>
  <c r="N20" i="81"/>
  <c r="N19" i="81"/>
  <c r="N18" i="81"/>
  <c r="P11" i="81"/>
  <c r="L16" i="81" l="1"/>
  <c r="C34" i="34" s="1"/>
  <c r="N11" i="81"/>
  <c r="P15" i="81"/>
  <c r="L12" i="81"/>
  <c r="N15" i="81"/>
  <c r="V20" i="1"/>
  <c r="I34" i="40"/>
  <c r="G34" i="40"/>
  <c r="E34" i="40"/>
  <c r="D66" i="40"/>
  <c r="E66" i="40" s="1"/>
  <c r="F66" i="40" s="1"/>
  <c r="G66" i="40" s="1"/>
  <c r="H66" i="40" s="1"/>
  <c r="I66" i="40" s="1"/>
  <c r="J66" i="40" s="1"/>
  <c r="K66" i="40" s="1"/>
  <c r="L66" i="40" s="1"/>
  <c r="M66" i="40" s="1"/>
  <c r="N66" i="40" s="1"/>
  <c r="O66" i="40" s="1"/>
  <c r="I7" i="40"/>
  <c r="G7" i="40"/>
  <c r="E7" i="40"/>
  <c r="I5" i="40"/>
  <c r="G5" i="40"/>
  <c r="E5" i="40"/>
  <c r="D11" i="78"/>
  <c r="D12" i="78" s="1"/>
  <c r="E5" i="78"/>
  <c r="E7" i="78" s="1"/>
  <c r="B6" i="78"/>
  <c r="L23" i="81" l="1"/>
  <c r="E6" i="78"/>
  <c r="O22" i="81"/>
  <c r="O16" i="81"/>
  <c r="P16" i="81" s="1"/>
  <c r="O14" i="81"/>
  <c r="P14" i="81" s="1"/>
  <c r="O13" i="81"/>
  <c r="P13" i="81" s="1"/>
  <c r="O12" i="81"/>
  <c r="P12" i="81" s="1"/>
  <c r="M16" i="81"/>
  <c r="N16" i="81" s="1"/>
  <c r="N14" i="81"/>
  <c r="M22" i="81"/>
  <c r="M13" i="81"/>
  <c r="N13" i="81" s="1"/>
  <c r="M12" i="81"/>
  <c r="N12" i="81" s="1"/>
  <c r="K17" i="81"/>
  <c r="K13" i="81"/>
  <c r="I11" i="81"/>
  <c r="I12" i="81"/>
  <c r="K12" i="81" s="1"/>
  <c r="I13" i="81"/>
  <c r="I14" i="81"/>
  <c r="K14" i="81" s="1"/>
  <c r="I15" i="81"/>
  <c r="K15" i="81" s="1"/>
  <c r="I16" i="81"/>
  <c r="K16" i="81" s="1"/>
  <c r="I22" i="81"/>
  <c r="K22" i="81" s="1"/>
  <c r="I4" i="81"/>
  <c r="I3" i="81"/>
  <c r="E5" i="81"/>
  <c r="E7" i="81" s="1"/>
  <c r="G5" i="81"/>
  <c r="G7" i="81" s="1"/>
  <c r="F4" i="81"/>
  <c r="D5" i="81"/>
  <c r="F3" i="81"/>
  <c r="C30" i="37" l="1"/>
  <c r="N22" i="81"/>
  <c r="P22" i="81"/>
  <c r="L25" i="81"/>
  <c r="I23" i="81"/>
  <c r="K11" i="81"/>
  <c r="F5" i="81"/>
  <c r="N23" i="81" l="1"/>
  <c r="M23" i="81" s="1"/>
  <c r="L6" i="1" s="1"/>
  <c r="K23" i="81"/>
  <c r="P23" i="81"/>
  <c r="O23" i="81" s="1"/>
  <c r="M23" i="1"/>
  <c r="N23" i="1" s="1"/>
  <c r="J52" i="15"/>
  <c r="J49" i="15"/>
  <c r="M22" i="1"/>
  <c r="N6" i="1" s="1"/>
  <c r="K24" i="1"/>
  <c r="W9" i="80"/>
  <c r="W20" i="80" s="1"/>
  <c r="V9" i="80"/>
  <c r="V19" i="80" s="1"/>
  <c r="S9" i="80"/>
  <c r="S19" i="80" s="1"/>
  <c r="R9" i="80"/>
  <c r="R19" i="80" s="1"/>
  <c r="Q9" i="80"/>
  <c r="Q20" i="80" s="1"/>
  <c r="P9" i="80"/>
  <c r="P19" i="80" s="1"/>
  <c r="O9" i="80"/>
  <c r="O19" i="80" s="1"/>
  <c r="N9" i="80"/>
  <c r="N19" i="80" s="1"/>
  <c r="M9" i="80"/>
  <c r="M20" i="80" s="1"/>
  <c r="L9" i="80"/>
  <c r="L19" i="80" s="1"/>
  <c r="K9" i="80"/>
  <c r="K19" i="80" s="1"/>
  <c r="J9" i="80"/>
  <c r="J20" i="80" s="1"/>
  <c r="I9" i="80"/>
  <c r="I20" i="80" s="1"/>
  <c r="H9" i="80"/>
  <c r="H19" i="80" s="1"/>
  <c r="G9" i="80"/>
  <c r="G19" i="80" s="1"/>
  <c r="F9" i="80"/>
  <c r="F19" i="80" s="1"/>
  <c r="E9" i="80"/>
  <c r="E20" i="80" s="1"/>
  <c r="D9" i="80"/>
  <c r="D19" i="80" s="1"/>
  <c r="H18" i="80" l="1"/>
  <c r="P18" i="80"/>
  <c r="D20" i="80"/>
  <c r="V20" i="80"/>
  <c r="I18" i="80"/>
  <c r="Q18" i="80"/>
  <c r="H20" i="80"/>
  <c r="D18" i="80"/>
  <c r="L18" i="80"/>
  <c r="V18" i="80"/>
  <c r="L20" i="80"/>
  <c r="C37" i="34"/>
  <c r="C33" i="37"/>
  <c r="Y6" i="1"/>
  <c r="N22" i="1"/>
  <c r="N24" i="1" s="1"/>
  <c r="M24" i="1" s="1"/>
  <c r="E18" i="80"/>
  <c r="M18" i="80"/>
  <c r="W18" i="80"/>
  <c r="P20" i="80"/>
  <c r="J19" i="80"/>
  <c r="F18" i="80"/>
  <c r="J18" i="80"/>
  <c r="N18" i="80"/>
  <c r="R18" i="80"/>
  <c r="F20" i="80"/>
  <c r="N20" i="80"/>
  <c r="R20" i="80"/>
  <c r="G18" i="80"/>
  <c r="K18" i="80"/>
  <c r="O18" i="80"/>
  <c r="S18" i="80"/>
  <c r="E19" i="80"/>
  <c r="I19" i="80"/>
  <c r="M19" i="80"/>
  <c r="Q19" i="80"/>
  <c r="W19" i="80"/>
  <c r="G20" i="80"/>
  <c r="K20" i="80"/>
  <c r="O20" i="80"/>
  <c r="S20" i="80"/>
  <c r="F19" i="6" l="1"/>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3" i="79" l="1"/>
  <c r="S14" i="79"/>
  <c r="T15" i="79"/>
  <c r="W15" i="79" s="1"/>
  <c r="S28" i="79"/>
  <c r="T30" i="79"/>
  <c r="W30" i="79" s="1"/>
  <c r="U36" i="79"/>
  <c r="S38" i="79"/>
  <c r="U40" i="79"/>
  <c r="AD41" i="79"/>
  <c r="R17" i="79"/>
  <c r="Z3" i="79"/>
  <c r="V13" i="79"/>
  <c r="U17" i="79"/>
  <c r="AA26" i="79"/>
  <c r="AD26" i="79" s="1"/>
  <c r="AD37"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AB20" i="1" s="1"/>
  <c r="AB21" i="1"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AB38" i="71" s="1"/>
  <c r="P38" i="71"/>
  <c r="O38" i="71"/>
  <c r="Y38" i="71" s="1"/>
  <c r="Z38" i="71" s="1"/>
  <c r="N38" i="71"/>
  <c r="F38" i="71"/>
  <c r="F39" i="71" s="1"/>
  <c r="F40" i="71" s="1"/>
  <c r="V40" i="71" s="1"/>
  <c r="Q37" i="71"/>
  <c r="P37" i="71"/>
  <c r="AA36" i="71" s="1"/>
  <c r="O37" i="71"/>
  <c r="N37" i="71"/>
  <c r="B38" i="71" s="1"/>
  <c r="B39" i="71" s="1"/>
  <c r="B40" i="71" s="1"/>
  <c r="S40" i="71" s="1"/>
  <c r="D37" i="71"/>
  <c r="Q36" i="71"/>
  <c r="P36" i="71"/>
  <c r="O36" i="71"/>
  <c r="Y35" i="71" s="1"/>
  <c r="Z35" i="71" s="1"/>
  <c r="N36" i="71"/>
  <c r="Q35" i="71"/>
  <c r="AB35" i="71" s="1"/>
  <c r="P35" i="71"/>
  <c r="AA35" i="71" s="1"/>
  <c r="O35" i="71"/>
  <c r="N35" i="71"/>
  <c r="X34" i="71" s="1"/>
  <c r="Q34" i="71"/>
  <c r="P34" i="71"/>
  <c r="O34" i="71"/>
  <c r="N34" i="71"/>
  <c r="F36" i="71"/>
  <c r="V36" i="71" s="1"/>
  <c r="Q33" i="71"/>
  <c r="F34" i="71" s="1"/>
  <c r="F35" i="71" s="1"/>
  <c r="P33" i="71"/>
  <c r="AA28"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N28" i="71"/>
  <c r="X26" i="71" s="1"/>
  <c r="B30" i="71"/>
  <c r="B31" i="71"/>
  <c r="E30" i="71"/>
  <c r="E31" i="71"/>
  <c r="E32" i="71" s="1"/>
  <c r="U32" i="71" s="1"/>
  <c r="E38" i="71"/>
  <c r="E39" i="71"/>
  <c r="E40" i="71" s="1"/>
  <c r="U40" i="71" s="1"/>
  <c r="AA37" i="71"/>
  <c r="N68" i="71"/>
  <c r="C30" i="71"/>
  <c r="C31" i="71" s="1"/>
  <c r="C34" i="71"/>
  <c r="D34" i="71" s="1"/>
  <c r="X35" i="71"/>
  <c r="C38" i="71"/>
  <c r="D38" i="71" s="1"/>
  <c r="Y37" i="71"/>
  <c r="Z37" i="71" s="1"/>
  <c r="X38" i="71"/>
  <c r="AA38" i="71"/>
  <c r="F51" i="71"/>
  <c r="F52" i="71" s="1"/>
  <c r="V52" i="71" s="1"/>
  <c r="C28" i="71"/>
  <c r="T28" i="71" s="1"/>
  <c r="Y28" i="71"/>
  <c r="Z28" i="71" s="1"/>
  <c r="X25" i="71"/>
  <c r="C39" i="71"/>
  <c r="C40" i="71" s="1"/>
  <c r="C51" i="71"/>
  <c r="D50" i="71"/>
  <c r="P28" i="71"/>
  <c r="E28" i="71" s="1"/>
  <c r="E55" i="71"/>
  <c r="E56" i="71" s="1"/>
  <c r="U56" i="71" s="1"/>
  <c r="E59" i="71"/>
  <c r="E60" i="71" s="1"/>
  <c r="U60"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E75" i="71"/>
  <c r="E74"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S21" i="34"/>
  <c r="H25" i="40"/>
  <c r="AB25" i="40" s="1"/>
  <c r="J25" i="40"/>
  <c r="W25" i="40" s="1"/>
  <c r="H29" i="39"/>
  <c r="AB29" i="39" s="1"/>
  <c r="J29" i="39"/>
  <c r="AC29" i="39" s="1"/>
  <c r="J18" i="36"/>
  <c r="AC18" i="36" s="1"/>
  <c r="H18" i="35"/>
  <c r="AB18" i="35" s="1"/>
  <c r="J18" i="35"/>
  <c r="H21" i="37"/>
  <c r="F21" i="37"/>
  <c r="AA21" i="37" s="1"/>
  <c r="F84" i="34"/>
  <c r="H21" i="34"/>
  <c r="AB21" i="34" s="1"/>
  <c r="H21" i="33"/>
  <c r="U21" i="33" s="1"/>
  <c r="F21" i="33"/>
  <c r="AA21" i="33" s="1"/>
  <c r="E83" i="21"/>
  <c r="F83" i="21" s="1"/>
  <c r="H1" i="69"/>
  <c r="AC25" i="40"/>
  <c r="U29" i="39"/>
  <c r="W29" i="39"/>
  <c r="W18" i="36"/>
  <c r="AB21" i="37"/>
  <c r="U21" i="37"/>
  <c r="AB21" i="33"/>
  <c r="S21" i="33"/>
  <c r="AC18" i="35"/>
  <c r="W18" i="35"/>
  <c r="J21" i="37"/>
  <c r="W21" i="37" s="1"/>
  <c r="G84" i="34"/>
  <c r="J21" i="34"/>
  <c r="W21" i="34" s="1"/>
  <c r="J21" i="33"/>
  <c r="W21" i="33" s="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U31" i="35"/>
  <c r="W22" i="35"/>
  <c r="S31" i="35"/>
  <c r="F36" i="34"/>
  <c r="J35" i="34"/>
  <c r="H39" i="33"/>
  <c r="AB39" i="33" s="1"/>
  <c r="F26" i="33"/>
  <c r="AA26" i="33" s="1"/>
  <c r="U35" i="33"/>
  <c r="S40" i="33"/>
  <c r="W33" i="33"/>
  <c r="W39" i="33"/>
  <c r="H39" i="37"/>
  <c r="AB39" i="37"/>
  <c r="S27" i="35"/>
  <c r="W8" i="40"/>
  <c r="AB39" i="40"/>
  <c r="W31"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c r="F27" i="39"/>
  <c r="F11" i="21"/>
  <c r="S11" i="21" s="1"/>
  <c r="S40" i="21"/>
  <c r="U34" i="21"/>
  <c r="H11" i="39"/>
  <c r="S40" i="39"/>
  <c r="C15" i="39"/>
  <c r="H32" i="33"/>
  <c r="AB32" i="33"/>
  <c r="H11" i="21"/>
  <c r="U11" i="21" s="1"/>
  <c r="J11" i="21"/>
  <c r="W11" i="21" s="1"/>
  <c r="H37" i="40"/>
  <c r="U37" i="40" s="1"/>
  <c r="H36" i="40"/>
  <c r="AB36" i="40" s="1"/>
  <c r="F35" i="40"/>
  <c r="AA35" i="40" s="1"/>
  <c r="H17" i="40"/>
  <c r="U17" i="40" s="1"/>
  <c r="J15" i="40"/>
  <c r="W15"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J28" i="34"/>
  <c r="W28" i="34"/>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7" i="40"/>
  <c r="S37" i="40" s="1"/>
  <c r="F36" i="40"/>
  <c r="AA36" i="40" s="1"/>
  <c r="H28" i="40"/>
  <c r="U28" i="40" s="1"/>
  <c r="F17" i="40"/>
  <c r="AA17" i="40" s="1"/>
  <c r="J17" i="40"/>
  <c r="W17" i="40" s="1"/>
  <c r="F15" i="40"/>
  <c r="S15" i="40" s="1"/>
  <c r="H15" i="40"/>
  <c r="AB15" i="40" s="1"/>
  <c r="S12" i="36"/>
  <c r="AA12" i="36"/>
  <c r="AB30" i="36"/>
  <c r="F29" i="35"/>
  <c r="S29" i="35" s="1"/>
  <c r="H29" i="35"/>
  <c r="AB29" i="35"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c r="J17" i="34"/>
  <c r="W17" i="34" s="1"/>
  <c r="AB17" i="34"/>
  <c r="S41" i="33"/>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s="1"/>
  <c r="F40" i="37"/>
  <c r="AA40" i="37" s="1"/>
  <c r="AC12" i="40"/>
  <c r="W12" i="40"/>
  <c r="H14" i="33"/>
  <c r="U14" i="33" s="1"/>
  <c r="F14" i="33"/>
  <c r="AA14" i="33" s="1"/>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c r="H12" i="40"/>
  <c r="AB12" i="40" s="1"/>
  <c r="H30" i="40"/>
  <c r="AB30" i="40"/>
  <c r="F33" i="40"/>
  <c r="AA33" i="40" s="1"/>
  <c r="H33" i="40"/>
  <c r="U33" i="40"/>
  <c r="J35" i="40"/>
  <c r="AC35" i="40" s="1"/>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c r="AA44" i="33"/>
  <c r="U46" i="33"/>
  <c r="J36" i="37"/>
  <c r="W36" i="37" s="1"/>
  <c r="J10" i="36"/>
  <c r="AC10" i="36" s="1"/>
  <c r="AB26" i="33"/>
  <c r="W31" i="34"/>
  <c r="S11" i="36"/>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BA518" i="3"/>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c r="BQ497" i="3"/>
  <c r="BL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U23" i="37" s="1"/>
  <c r="J32" i="37"/>
  <c r="W32" i="37" s="1"/>
  <c r="F36" i="37"/>
  <c r="S36" i="37" s="1"/>
  <c r="F37" i="37"/>
  <c r="AA37" i="37"/>
  <c r="F31" i="40"/>
  <c r="AA31" i="40" s="1"/>
  <c r="H31" i="40"/>
  <c r="U31" i="40"/>
  <c r="F32" i="40"/>
  <c r="S32" i="40" s="1"/>
  <c r="H32" i="40"/>
  <c r="AB32" i="40"/>
  <c r="J36" i="40"/>
  <c r="AC36" i="40" s="1"/>
  <c r="F123" i="33"/>
  <c r="G123" i="33" s="1"/>
  <c r="H123" i="33" s="1"/>
  <c r="I123" i="33" s="1"/>
  <c r="J123" i="33" s="1"/>
  <c r="K123" i="33" s="1"/>
  <c r="L123" i="33" s="1"/>
  <c r="M123" i="33" s="1"/>
  <c r="H42" i="33"/>
  <c r="AB42" i="33" s="1"/>
  <c r="J43" i="33"/>
  <c r="AC43" i="33"/>
  <c r="S28" i="31"/>
  <c r="S27" i="31"/>
  <c r="S26" i="31"/>
  <c r="U14" i="40"/>
  <c r="W23" i="35"/>
  <c r="U39"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H5" i="3"/>
  <c r="AA25" i="21"/>
  <c r="H19" i="40"/>
  <c r="U19" i="40" s="1"/>
  <c r="F19" i="40"/>
  <c r="S19" i="40" s="1"/>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G312" i="3"/>
  <c r="BA314" i="3"/>
  <c r="AZ314" i="3" s="1"/>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BL380" i="3"/>
  <c r="G381" i="3"/>
  <c r="BA383" i="3"/>
  <c r="AZ383" i="3" s="1"/>
  <c r="BL384" i="3"/>
  <c r="G385" i="3"/>
  <c r="BA387" i="3"/>
  <c r="AZ387" i="3" s="1"/>
  <c r="BL388" i="3"/>
  <c r="G389" i="3"/>
  <c r="BA391" i="3"/>
  <c r="BL392" i="3"/>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92" i="3"/>
  <c r="AZ499" i="3"/>
  <c r="AZ509" i="3"/>
  <c r="G509" i="3"/>
  <c r="BL493" i="3"/>
  <c r="AZ493" i="3" s="1"/>
  <c r="F83" i="43"/>
  <c r="H85" i="43" s="1"/>
  <c r="F50" i="43"/>
  <c r="H54" i="43" s="1"/>
  <c r="F72" i="43"/>
  <c r="H75" i="43" s="1"/>
  <c r="U17" i="39"/>
  <c r="S14" i="35"/>
  <c r="U43" i="21"/>
  <c r="U35" i="21"/>
  <c r="AC35" i="21"/>
  <c r="G10" i="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AB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27" i="3"/>
  <c r="AZ235" i="3"/>
  <c r="AZ251" i="3"/>
  <c r="AZ133" i="3"/>
  <c r="AZ72" i="3"/>
  <c r="AZ82" i="3"/>
  <c r="AZ11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c r="F39" i="40"/>
  <c r="BA14" i="3"/>
  <c r="AZ286" i="3"/>
  <c r="AZ157" i="3"/>
  <c r="B12" i="1"/>
  <c r="E12" i="1" s="1"/>
  <c r="B10" i="1"/>
  <c r="E10" i="1" s="1"/>
  <c r="K12" i="1"/>
  <c r="M12" i="1" s="1"/>
  <c r="S13" i="1"/>
  <c r="AR13" i="1" s="1"/>
  <c r="R13" i="1"/>
  <c r="J51" i="67"/>
  <c r="C42" i="1"/>
  <c r="C24" i="12" s="1"/>
  <c r="AC34" i="33"/>
  <c r="AA34" i="33"/>
  <c r="AA32" i="40"/>
  <c r="AC15"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U29" i="37"/>
  <c r="W38" i="37"/>
  <c r="AC35" i="37"/>
  <c r="W39" i="37"/>
  <c r="S37" i="37"/>
  <c r="J17" i="37"/>
  <c r="W17" i="37" s="1"/>
  <c r="F79" i="37"/>
  <c r="G79" i="37" s="1"/>
  <c r="F23" i="37"/>
  <c r="S23" i="37" s="1"/>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U32" i="40"/>
  <c r="AB31" i="40"/>
  <c r="AB28" i="40"/>
  <c r="W28" i="40"/>
  <c r="W27" i="40"/>
  <c r="S36" i="40"/>
  <c r="AC14" i="40"/>
  <c r="S13" i="40"/>
  <c r="S33" i="40"/>
  <c r="AA15"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S27" i="37"/>
  <c r="S28" i="37"/>
  <c r="U36" i="37"/>
  <c r="S40" i="37"/>
  <c r="AB37" i="37"/>
  <c r="AC34" i="37"/>
  <c r="AB35" i="37"/>
  <c r="U8" i="37"/>
  <c r="AA40" i="34"/>
  <c r="AB40" i="34"/>
  <c r="U19" i="34"/>
  <c r="W19" i="34"/>
  <c r="AB33"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J23" i="37"/>
  <c r="AC23" i="37" s="1"/>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AB15" i="21"/>
  <c r="J23" i="21"/>
  <c r="F85" i="21"/>
  <c r="G85" i="21" s="1"/>
  <c r="H23" i="21"/>
  <c r="AP7" i="1"/>
  <c r="AB9" i="21"/>
  <c r="U9" i="21"/>
  <c r="AA32" i="21"/>
  <c r="AB32" i="21"/>
  <c r="U32" i="39"/>
  <c r="W32" i="39"/>
  <c r="J11" i="37"/>
  <c r="AC11" i="37" s="1"/>
  <c r="J11" i="34"/>
  <c r="W11" i="34" s="1"/>
  <c r="AB36" i="33"/>
  <c r="AC27" i="33"/>
  <c r="AA17" i="33"/>
  <c r="U23" i="21"/>
  <c r="AB23" i="21"/>
  <c r="AC23" i="21"/>
  <c r="W23" i="21"/>
  <c r="H109" i="9"/>
  <c r="H112" i="9"/>
  <c r="D21" i="53" s="1"/>
  <c r="B39" i="72" s="1"/>
  <c r="H111" i="9"/>
  <c r="D126" i="9" s="1"/>
  <c r="AD3" i="71"/>
  <c r="J1" i="73"/>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67"/>
  <c r="M9" i="15"/>
  <c r="M8" i="67"/>
  <c r="M28" i="67"/>
  <c r="J15" i="67"/>
  <c r="F40" i="67"/>
  <c r="E7" i="76"/>
  <c r="F9" i="15"/>
  <c r="F7" i="15"/>
  <c r="F26" i="67"/>
  <c r="F38" i="67"/>
  <c r="M29" i="67"/>
  <c r="L47" i="15"/>
  <c r="F13" i="67"/>
  <c r="F36" i="15"/>
  <c r="AO13" i="1"/>
  <c r="F38" i="15"/>
  <c r="E8" i="76"/>
  <c r="L47" i="67"/>
  <c r="B9" i="76"/>
  <c r="B7" i="76"/>
  <c r="D6" i="73"/>
  <c r="M28" i="15"/>
  <c r="F6" i="73"/>
  <c r="B12" i="76"/>
  <c r="E11" i="76"/>
  <c r="E13" i="76"/>
  <c r="B13" i="76"/>
  <c r="F20" i="31"/>
  <c r="E10" i="76"/>
  <c r="F5" i="73"/>
  <c r="B8" i="76"/>
  <c r="F4" i="73"/>
  <c r="E12" i="76"/>
  <c r="M8" i="15"/>
  <c r="F7" i="73"/>
  <c r="E2" i="68"/>
  <c r="F3" i="73"/>
  <c r="B11" i="76"/>
  <c r="E9" i="76"/>
  <c r="M24" i="67"/>
  <c r="F16" i="15"/>
  <c r="M6" i="15"/>
  <c r="M26" i="67"/>
  <c r="M29" i="15"/>
  <c r="F37" i="67"/>
  <c r="B10" i="76"/>
  <c r="F9" i="67"/>
  <c r="E2" i="69"/>
  <c r="F42" i="67"/>
  <c r="F37" i="15"/>
  <c r="D22" i="71" l="1"/>
  <c r="W25" i="33"/>
  <c r="AB45" i="21"/>
  <c r="AA23" i="21"/>
  <c r="AA19" i="33"/>
  <c r="U27" i="40"/>
  <c r="G29" i="6"/>
  <c r="AZ322" i="3"/>
  <c r="AZ311" i="3"/>
  <c r="AZ520" i="3"/>
  <c r="AA38" i="40"/>
  <c r="S38" i="40"/>
  <c r="U19" i="33"/>
  <c r="AZ14" i="3"/>
  <c r="AZ379" i="3"/>
  <c r="AC9" i="21"/>
  <c r="D6" i="52"/>
  <c r="S36" i="33"/>
  <c r="S11" i="39"/>
  <c r="AA11" i="39"/>
  <c r="S13" i="21"/>
  <c r="F71" i="37"/>
  <c r="G71" i="37" s="1"/>
  <c r="H15" i="37"/>
  <c r="AB26" i="37"/>
  <c r="U26" i="37"/>
  <c r="AZ513" i="3"/>
  <c r="AZ575" i="3"/>
  <c r="AZ502" i="3"/>
  <c r="BL587" i="3"/>
  <c r="AZ587" i="3" s="1"/>
  <c r="BA398" i="3"/>
  <c r="BA399" i="3"/>
  <c r="AZ399" i="3" s="1"/>
  <c r="AZ402" i="3"/>
  <c r="G416" i="3"/>
  <c r="AZ469" i="3"/>
  <c r="AZ487" i="3"/>
  <c r="AZ391" i="3"/>
  <c r="AZ318" i="3"/>
  <c r="AZ364" i="3"/>
  <c r="AZ329" i="3"/>
  <c r="AZ306" i="3"/>
  <c r="AC31" i="33"/>
  <c r="AZ519" i="3"/>
  <c r="AZ531" i="3"/>
  <c r="AZ573" i="3"/>
  <c r="AZ583" i="3"/>
  <c r="AZ576" i="3"/>
  <c r="S44" i="34"/>
  <c r="AA14" i="37"/>
  <c r="G587" i="3"/>
  <c r="F9" i="33"/>
  <c r="AA9" i="33" s="1"/>
  <c r="J12" i="35"/>
  <c r="F25" i="37"/>
  <c r="H38" i="40"/>
  <c r="G551" i="3"/>
  <c r="BL550" i="3"/>
  <c r="G542" i="3"/>
  <c r="BL15" i="3"/>
  <c r="AZ15" i="3" s="1"/>
  <c r="BA401" i="3"/>
  <c r="AZ401" i="3" s="1"/>
  <c r="BA406" i="3"/>
  <c r="AZ406" i="3" s="1"/>
  <c r="G410" i="3"/>
  <c r="BL410" i="3"/>
  <c r="G412" i="3"/>
  <c r="BA424" i="3"/>
  <c r="AZ515" i="3"/>
  <c r="AZ523" i="3"/>
  <c r="AZ547" i="3"/>
  <c r="AZ569" i="3"/>
  <c r="AZ571" i="3"/>
  <c r="AZ579" i="3"/>
  <c r="AZ516" i="3"/>
  <c r="AZ524" i="3"/>
  <c r="AB46" i="34"/>
  <c r="AB30" i="21"/>
  <c r="AC11" i="35"/>
  <c r="U33" i="33"/>
  <c r="U34" i="35"/>
  <c r="W28" i="35"/>
  <c r="BL585" i="3"/>
  <c r="AZ585" i="3" s="1"/>
  <c r="H9" i="33"/>
  <c r="J25" i="37"/>
  <c r="A15" i="62"/>
  <c r="B61" i="72" s="1"/>
  <c r="AZ404" i="3"/>
  <c r="AZ345" i="3"/>
  <c r="AZ334" i="3"/>
  <c r="AZ372" i="3"/>
  <c r="AZ347" i="3"/>
  <c r="AZ337" i="3"/>
  <c r="AZ376" i="3"/>
  <c r="AZ324" i="3"/>
  <c r="AZ309" i="3"/>
  <c r="AZ539" i="3"/>
  <c r="AZ529" i="3"/>
  <c r="AZ518" i="3"/>
  <c r="AB45" i="33"/>
  <c r="C25" i="39"/>
  <c r="W9" i="34"/>
  <c r="AC27" i="35"/>
  <c r="B79" i="43"/>
  <c r="H9" i="34"/>
  <c r="F12" i="34"/>
  <c r="S12" i="34" s="1"/>
  <c r="H23" i="35"/>
  <c r="J38" i="40"/>
  <c r="BA551" i="3"/>
  <c r="AZ551" i="3" s="1"/>
  <c r="BA550" i="3"/>
  <c r="AZ550" i="3" s="1"/>
  <c r="BL548" i="3"/>
  <c r="AZ548" i="3" s="1"/>
  <c r="BL398" i="3"/>
  <c r="G402" i="3"/>
  <c r="BA413" i="3"/>
  <c r="AZ413" i="3" s="1"/>
  <c r="BA420" i="3"/>
  <c r="BL403" i="3"/>
  <c r="AZ403" i="3" s="1"/>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A262" i="3"/>
  <c r="AZ262" i="3" s="1"/>
  <c r="BA265" i="3"/>
  <c r="AZ265" i="3" s="1"/>
  <c r="BL266" i="3"/>
  <c r="BA268" i="3"/>
  <c r="BA271" i="3"/>
  <c r="AZ271" i="3" s="1"/>
  <c r="BL271" i="3"/>
  <c r="BA273" i="3"/>
  <c r="AZ273" i="3" s="1"/>
  <c r="BA279" i="3"/>
  <c r="BA283" i="3"/>
  <c r="BL401" i="3"/>
  <c r="BL404" i="3"/>
  <c r="BL405" i="3"/>
  <c r="AZ405" i="3" s="1"/>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AZ457" i="3" s="1"/>
  <c r="BA459" i="3"/>
  <c r="AZ459" i="3" s="1"/>
  <c r="BA460" i="3"/>
  <c r="AZ460" i="3" s="1"/>
  <c r="BA461" i="3"/>
  <c r="BL464" i="3"/>
  <c r="AZ464" i="3" s="1"/>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63" i="3"/>
  <c r="BL264" i="3"/>
  <c r="BA267" i="3"/>
  <c r="AZ267" i="3" s="1"/>
  <c r="BA269" i="3"/>
  <c r="AZ269" i="3" s="1"/>
  <c r="G276" i="3"/>
  <c r="BA277" i="3"/>
  <c r="AZ277" i="3" s="1"/>
  <c r="G281" i="3"/>
  <c r="AZ444" i="3"/>
  <c r="AZ476" i="3"/>
  <c r="BA482" i="3"/>
  <c r="BA332" i="3"/>
  <c r="BL332" i="3"/>
  <c r="G364" i="3"/>
  <c r="BA367" i="3"/>
  <c r="AZ367" i="3" s="1"/>
  <c r="BA370" i="3"/>
  <c r="AZ370" i="3" s="1"/>
  <c r="AZ301"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BL328" i="3"/>
  <c r="AZ328" i="3" s="1"/>
  <c r="BA335" i="3"/>
  <c r="AZ335" i="3" s="1"/>
  <c r="BA339" i="3"/>
  <c r="AZ339"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1" i="3"/>
  <c r="BA274" i="3"/>
  <c r="AZ274" i="3" s="1"/>
  <c r="BL274" i="3"/>
  <c r="G279"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BA31" i="3"/>
  <c r="BA32" i="3"/>
  <c r="G38" i="3"/>
  <c r="BA38" i="3"/>
  <c r="BA41" i="3"/>
  <c r="AZ41" i="3" s="1"/>
  <c r="BA42" i="3"/>
  <c r="T40" i="71"/>
  <c r="D40" i="71"/>
  <c r="C55" i="71"/>
  <c r="D54" i="71"/>
  <c r="V24" i="71"/>
  <c r="E23" i="71"/>
  <c r="E22" i="71" s="1"/>
  <c r="E21" i="71" s="1"/>
  <c r="E20" i="71" s="1"/>
  <c r="BL277" i="3"/>
  <c r="BA282" i="3"/>
  <c r="AZ282" i="3" s="1"/>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P65" i="71"/>
  <c r="P66" i="71"/>
  <c r="D46" i="71"/>
  <c r="C47" i="71"/>
  <c r="D47" i="71" s="1"/>
  <c r="BA37" i="3"/>
  <c r="G39" i="3"/>
  <c r="BL39" i="3"/>
  <c r="AZ39" i="3" s="1"/>
  <c r="BA43" i="3"/>
  <c r="BL47" i="3"/>
  <c r="AZ47" i="3" s="1"/>
  <c r="G49" i="3"/>
  <c r="BA280" i="3"/>
  <c r="AZ280" i="3" s="1"/>
  <c r="BL283" i="3"/>
  <c r="BL284" i="3"/>
  <c r="G288" i="3"/>
  <c r="BL292" i="3"/>
  <c r="BA294" i="3"/>
  <c r="AZ294" i="3" s="1"/>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L28" i="3"/>
  <c r="BA29" i="3"/>
  <c r="AZ29" i="3" s="1"/>
  <c r="AZ38" i="3"/>
  <c r="C32" i="71"/>
  <c r="D31" i="71"/>
  <c r="C64" i="71"/>
  <c r="D63" i="71"/>
  <c r="G44" i="3"/>
  <c r="BA45" i="3"/>
  <c r="AZ45" i="3" s="1"/>
  <c r="BA46" i="3"/>
  <c r="BL49" i="3"/>
  <c r="BL50" i="3"/>
  <c r="AZ50" i="3" s="1"/>
  <c r="BL51" i="3"/>
  <c r="G53" i="3"/>
  <c r="BL53" i="3"/>
  <c r="BA56" i="3"/>
  <c r="BA57" i="3"/>
  <c r="AZ57" i="3" s="1"/>
  <c r="BL58" i="3"/>
  <c r="G60" i="3"/>
  <c r="BA60" i="3"/>
  <c r="BA63" i="3"/>
  <c r="AZ63" i="3" s="1"/>
  <c r="BA66" i="3"/>
  <c r="BA71" i="3"/>
  <c r="AZ71" i="3" s="1"/>
  <c r="G76" i="3"/>
  <c r="BL77" i="3"/>
  <c r="AZ77" i="3" s="1"/>
  <c r="BA79" i="3"/>
  <c r="AZ79" i="3" s="1"/>
  <c r="G82" i="3"/>
  <c r="G83" i="3"/>
  <c r="BA84" i="3"/>
  <c r="BL88" i="3"/>
  <c r="AZ88" i="3" s="1"/>
  <c r="G90" i="3"/>
  <c r="BL90" i="3"/>
  <c r="BL92" i="3"/>
  <c r="G101" i="3"/>
  <c r="BA101" i="3"/>
  <c r="AZ101" i="3" s="1"/>
  <c r="BL112" i="3"/>
  <c r="W21" i="21"/>
  <c r="D39" i="71"/>
  <c r="C74" i="71"/>
  <c r="D74" i="71" s="1"/>
  <c r="AA3" i="71"/>
  <c r="C27" i="71"/>
  <c r="D62" i="71"/>
  <c r="U68" i="71"/>
  <c r="D30" i="71"/>
  <c r="Y27" i="71"/>
  <c r="Z27" i="71" s="1"/>
  <c r="AA34" i="71"/>
  <c r="B51" i="71"/>
  <c r="B52" i="71" s="1"/>
  <c r="S52" i="71" s="1"/>
  <c r="E51" i="71"/>
  <c r="E52" i="71" s="1"/>
  <c r="U52" i="71" s="1"/>
  <c r="B71" i="71"/>
  <c r="B70" i="71" s="1"/>
  <c r="AB24" i="1"/>
  <c r="AB27" i="1"/>
  <c r="BA52" i="3"/>
  <c r="AZ52" i="3" s="1"/>
  <c r="BA53" i="3"/>
  <c r="AZ53" i="3" s="1"/>
  <c r="BA54" i="3"/>
  <c r="BL57" i="3"/>
  <c r="G62" i="3"/>
  <c r="BL62" i="3"/>
  <c r="BL63" i="3"/>
  <c r="G65" i="3"/>
  <c r="BL65" i="3"/>
  <c r="BL66" i="3"/>
  <c r="BL67" i="3"/>
  <c r="AZ67" i="3" s="1"/>
  <c r="BL83" i="3"/>
  <c r="BA90" i="3"/>
  <c r="BL94" i="3"/>
  <c r="AZ94" i="3" s="1"/>
  <c r="BA100" i="3"/>
  <c r="AZ100" i="3" s="1"/>
  <c r="BA102" i="3"/>
  <c r="AZ102" i="3" s="1"/>
  <c r="BL105" i="3"/>
  <c r="AZ105" i="3" s="1"/>
  <c r="G107" i="3"/>
  <c r="BL107" i="3"/>
  <c r="BA111" i="3"/>
  <c r="B68" i="43"/>
  <c r="B88" i="43"/>
  <c r="D60" i="71"/>
  <c r="D66" i="71"/>
  <c r="C70" i="71"/>
  <c r="D70" i="71" s="1"/>
  <c r="D28" i="71"/>
  <c r="U28" i="71" s="1"/>
  <c r="AB28" i="71"/>
  <c r="Q67" i="71"/>
  <c r="B28" i="71"/>
  <c r="Y26" i="71"/>
  <c r="Z26" i="71" s="1"/>
  <c r="X36" i="71"/>
  <c r="AB33" i="71"/>
  <c r="AA30" i="71"/>
  <c r="E34" i="71"/>
  <c r="E35" i="71" s="1"/>
  <c r="E36" i="71" s="1"/>
  <c r="U36" i="71" s="1"/>
  <c r="B32" i="71"/>
  <c r="S32" i="71" s="1"/>
  <c r="AB34" i="71"/>
  <c r="AB31" i="71"/>
  <c r="AB36" i="71"/>
  <c r="B55" i="71"/>
  <c r="B56" i="71" s="1"/>
  <c r="S56" i="71" s="1"/>
  <c r="F71" i="71"/>
  <c r="F70" i="71" s="1"/>
  <c r="F79" i="71"/>
  <c r="F78" i="71" s="1"/>
  <c r="AZ62" i="3"/>
  <c r="AZ64" i="3"/>
  <c r="AZ65" i="3"/>
  <c r="BL68" i="3"/>
  <c r="BA69" i="3"/>
  <c r="AZ69" i="3" s="1"/>
  <c r="G72" i="3"/>
  <c r="BL73" i="3"/>
  <c r="BA74" i="3"/>
  <c r="AZ74" i="3" s="1"/>
  <c r="BA75" i="3"/>
  <c r="AZ75" i="3" s="1"/>
  <c r="G81" i="3"/>
  <c r="BL85" i="3"/>
  <c r="BA86" i="3"/>
  <c r="AZ86" i="3" s="1"/>
  <c r="BA87" i="3"/>
  <c r="BA91" i="3"/>
  <c r="AZ91" i="3" s="1"/>
  <c r="G96" i="3"/>
  <c r="BL97" i="3"/>
  <c r="AZ97" i="3" s="1"/>
  <c r="BA108" i="3"/>
  <c r="AZ108" i="3" s="1"/>
  <c r="U21" i="34"/>
  <c r="O66" i="71"/>
  <c r="AB27" i="71"/>
  <c r="C87" i="71"/>
  <c r="AB25" i="71"/>
  <c r="C43" i="71"/>
  <c r="Y25" i="71"/>
  <c r="Z25" i="71" s="1"/>
  <c r="C35" i="71"/>
  <c r="X33" i="71"/>
  <c r="AB37" i="71"/>
  <c r="BL45" i="3"/>
  <c r="BA48" i="3"/>
  <c r="BA49" i="3"/>
  <c r="AZ49" i="3" s="1"/>
  <c r="BA51" i="3"/>
  <c r="G55" i="3"/>
  <c r="BL56" i="3"/>
  <c r="BA58" i="3"/>
  <c r="AZ58" i="3" s="1"/>
  <c r="BL59" i="3"/>
  <c r="AZ59" i="3" s="1"/>
  <c r="BL60" i="3"/>
  <c r="BA61" i="3"/>
  <c r="AZ61" i="3" s="1"/>
  <c r="BA68" i="3"/>
  <c r="BA73" i="3"/>
  <c r="BA80" i="3"/>
  <c r="BL84" i="3"/>
  <c r="G103" i="3"/>
  <c r="BA103" i="3"/>
  <c r="AZ103" i="3" s="1"/>
  <c r="BA104" i="3"/>
  <c r="BA106" i="3"/>
  <c r="BL108" i="3"/>
  <c r="G110" i="3"/>
  <c r="BL111" i="3"/>
  <c r="AC21" i="33"/>
  <c r="B77" i="43"/>
  <c r="X28" i="71"/>
  <c r="W34" i="40"/>
  <c r="C40" i="11"/>
  <c r="C40" i="69"/>
  <c r="F75" i="37"/>
  <c r="H19" i="37"/>
  <c r="AB19" i="37" s="1"/>
  <c r="J19" i="37"/>
  <c r="W19" i="37" s="1"/>
  <c r="G73" i="37"/>
  <c r="F17" i="37"/>
  <c r="AA17" i="37" s="1"/>
  <c r="AA23" i="37"/>
  <c r="AB23" i="37"/>
  <c r="W23" i="37"/>
  <c r="AC21" i="37"/>
  <c r="S21" i="37"/>
  <c r="AB17" i="37"/>
  <c r="AC17" i="37"/>
  <c r="AC15" i="37"/>
  <c r="S15" i="37"/>
  <c r="AC45" i="34"/>
  <c r="AB45" i="34"/>
  <c r="U38" i="37"/>
  <c r="AA38" i="37"/>
  <c r="U34" i="34"/>
  <c r="I7" i="37"/>
  <c r="G7" i="37"/>
  <c r="E7" i="37"/>
  <c r="J51" i="15"/>
  <c r="I7" i="34"/>
  <c r="G7" i="34"/>
  <c r="E7" i="34"/>
  <c r="W8" i="34"/>
  <c r="AA29" i="37"/>
  <c r="AA36" i="37"/>
  <c r="AC36" i="37"/>
  <c r="H99" i="37"/>
  <c r="I99" i="37" s="1"/>
  <c r="J99" i="37" s="1"/>
  <c r="K99" i="37" s="1"/>
  <c r="L99" i="37" s="1"/>
  <c r="M99" i="37" s="1"/>
  <c r="J33" i="37"/>
  <c r="AC33" i="37" s="1"/>
  <c r="H33" i="37"/>
  <c r="U33" i="37" s="1"/>
  <c r="F33" i="37"/>
  <c r="AA33" i="37" s="1"/>
  <c r="AA32" i="37"/>
  <c r="AC32" i="37"/>
  <c r="U32" i="37"/>
  <c r="AA31" i="37"/>
  <c r="U31" i="37"/>
  <c r="W31" i="37"/>
  <c r="AC29" i="37"/>
  <c r="W30" i="37"/>
  <c r="S30" i="37"/>
  <c r="U30" i="37"/>
  <c r="F92" i="40"/>
  <c r="G92" i="40" s="1"/>
  <c r="F23" i="40"/>
  <c r="AA23" i="40" s="1"/>
  <c r="J23" i="40"/>
  <c r="AC23" i="40" s="1"/>
  <c r="H23" i="40"/>
  <c r="AB23" i="40" s="1"/>
  <c r="W19" i="40"/>
  <c r="AB17" i="40"/>
  <c r="AC17" i="40"/>
  <c r="U25" i="40"/>
  <c r="S25" i="40"/>
  <c r="S23" i="40"/>
  <c r="S21" i="40"/>
  <c r="AC21" i="40"/>
  <c r="U21" i="40"/>
  <c r="AA19" i="40"/>
  <c r="AB19" i="40"/>
  <c r="S17" i="40"/>
  <c r="C18" i="9"/>
  <c r="D18" i="9" s="1"/>
  <c r="C21" i="68"/>
  <c r="U34" i="40"/>
  <c r="F34" i="15"/>
  <c r="F62" i="15" s="1"/>
  <c r="M20" i="67"/>
  <c r="F34" i="67"/>
  <c r="F62" i="67" s="1"/>
  <c r="U36" i="40"/>
  <c r="S35" i="40"/>
  <c r="W36" i="40"/>
  <c r="W37" i="40"/>
  <c r="AB37" i="40"/>
  <c r="AA37" i="40"/>
  <c r="U35" i="40"/>
  <c r="W35" i="40"/>
  <c r="S34" i="40"/>
  <c r="AA9" i="40"/>
  <c r="U9" i="40"/>
  <c r="D93" i="9"/>
  <c r="B41" i="1"/>
  <c r="F53" i="9" s="1"/>
  <c r="C40" i="68"/>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Q18" i="1"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M7" i="15"/>
  <c r="J6" i="15" s="1"/>
  <c r="F50" i="15"/>
  <c r="F66" i="67"/>
  <c r="L59" i="15"/>
  <c r="N59" i="15"/>
  <c r="M59" i="15"/>
  <c r="F66" i="15"/>
  <c r="F64" i="15"/>
  <c r="C27" i="67"/>
  <c r="F71" i="67"/>
  <c r="F65" i="15"/>
  <c r="N59" i="67"/>
  <c r="L59" i="67"/>
  <c r="M59" i="67"/>
  <c r="B13" i="70"/>
  <c r="F68" i="67"/>
  <c r="C36" i="68"/>
  <c r="D9" i="69"/>
  <c r="C36" i="69"/>
  <c r="D9" i="68"/>
  <c r="M26" i="15"/>
  <c r="C76" i="15"/>
  <c r="F36" i="67"/>
  <c r="M24" i="15"/>
  <c r="F43" i="15"/>
  <c r="F6" i="15"/>
  <c r="F7" i="67"/>
  <c r="F16" i="67"/>
  <c r="M22" i="67"/>
  <c r="M23" i="67"/>
  <c r="J15" i="15"/>
  <c r="C76" i="67"/>
  <c r="F40" i="15"/>
  <c r="L48" i="15"/>
  <c r="M23" i="15"/>
  <c r="F8" i="15"/>
  <c r="F42" i="15"/>
  <c r="M6" i="67"/>
  <c r="L48" i="67"/>
  <c r="D7" i="73"/>
  <c r="F13" i="15"/>
  <c r="F6" i="67"/>
  <c r="M9" i="67"/>
  <c r="F8" i="67"/>
  <c r="M22" i="15"/>
  <c r="F26" i="15"/>
  <c r="D3" i="73"/>
  <c r="D5" i="73"/>
  <c r="C16" i="15"/>
  <c r="D4" i="73"/>
  <c r="C27" i="15" l="1"/>
  <c r="F51" i="67"/>
  <c r="C6" i="67"/>
  <c r="J57" i="67"/>
  <c r="J55" i="67" s="1"/>
  <c r="J58" i="67" s="1"/>
  <c r="Q50" i="67" s="1"/>
  <c r="I54" i="67"/>
  <c r="J53" i="67"/>
  <c r="L56" i="67"/>
  <c r="L58" i="67"/>
  <c r="Q73" i="67" s="1"/>
  <c r="F51" i="15"/>
  <c r="J53" i="15"/>
  <c r="L56" i="15" s="1"/>
  <c r="I54" i="15"/>
  <c r="L58" i="15"/>
  <c r="Q60" i="15" s="1"/>
  <c r="J57" i="15"/>
  <c r="J55" i="15" s="1"/>
  <c r="J58" i="15" s="1"/>
  <c r="Q50" i="15" s="1"/>
  <c r="F68" i="15"/>
  <c r="Q71" i="67"/>
  <c r="M7" i="67"/>
  <c r="J6" i="67" s="1"/>
  <c r="J18" i="67" s="1"/>
  <c r="F50" i="67"/>
  <c r="C6" i="15"/>
  <c r="C32" i="15" s="1"/>
  <c r="F71" i="15"/>
  <c r="F64" i="67"/>
  <c r="Q71" i="15"/>
  <c r="C36" i="71"/>
  <c r="D35" i="71"/>
  <c r="C86" i="71"/>
  <c r="D86" i="71" s="1"/>
  <c r="D87" i="71"/>
  <c r="C26" i="71"/>
  <c r="D26" i="71" s="1"/>
  <c r="D27" i="71"/>
  <c r="AZ84" i="3"/>
  <c r="AB9" i="34"/>
  <c r="U9" i="34"/>
  <c r="AZ398" i="3"/>
  <c r="AB15" i="37"/>
  <c r="U15" i="37"/>
  <c r="W23" i="40"/>
  <c r="B27" i="71"/>
  <c r="B26" i="71" s="1"/>
  <c r="S28" i="71"/>
  <c r="T32" i="71"/>
  <c r="D32" i="71"/>
  <c r="AZ25" i="3"/>
  <c r="AZ137" i="3"/>
  <c r="AZ297" i="3"/>
  <c r="C56" i="71"/>
  <c r="D55" i="71"/>
  <c r="AZ31" i="3"/>
  <c r="AZ20" i="3"/>
  <c r="AZ244" i="3"/>
  <c r="AZ239" i="3"/>
  <c r="AZ397" i="3"/>
  <c r="AZ332" i="3"/>
  <c r="AZ421" i="3"/>
  <c r="AZ471" i="3"/>
  <c r="AC38" i="40"/>
  <c r="W38" i="40"/>
  <c r="AB38" i="40"/>
  <c r="U38" i="40"/>
  <c r="AZ51" i="3"/>
  <c r="C44" i="71"/>
  <c r="D43" i="71"/>
  <c r="AZ111" i="3"/>
  <c r="AZ150" i="3"/>
  <c r="AZ302" i="3"/>
  <c r="AZ284" i="3"/>
  <c r="AZ28" i="3"/>
  <c r="AZ461" i="3"/>
  <c r="AZ454" i="3"/>
  <c r="AZ418" i="3"/>
  <c r="AZ368" i="3"/>
  <c r="AZ353" i="3"/>
  <c r="AZ429" i="3"/>
  <c r="U23" i="35"/>
  <c r="AB23" i="35"/>
  <c r="AC25" i="37"/>
  <c r="W25" i="37"/>
  <c r="AA25" i="37"/>
  <c r="S25" i="37"/>
  <c r="G5" i="3"/>
  <c r="B3" i="3" s="1"/>
  <c r="E539" i="3" s="1"/>
  <c r="AZ66" i="3"/>
  <c r="AZ178" i="3"/>
  <c r="AZ283" i="3"/>
  <c r="AB9" i="33"/>
  <c r="U9" i="33"/>
  <c r="W12" i="35"/>
  <c r="AC12" i="35"/>
  <c r="G3" i="43"/>
  <c r="G26" i="43" s="1"/>
  <c r="C11" i="40"/>
  <c r="U19" i="37"/>
  <c r="G75" i="37"/>
  <c r="F19" i="37"/>
  <c r="S17" i="37"/>
  <c r="AB33" i="37"/>
  <c r="F27" i="69"/>
  <c r="F45" i="69" s="1"/>
  <c r="J7" i="36"/>
  <c r="J7" i="37"/>
  <c r="F48" i="9"/>
  <c r="O52" i="9" s="1"/>
  <c r="F30" i="11"/>
  <c r="M18" i="67"/>
  <c r="M18" i="15"/>
  <c r="J18" i="15" s="1"/>
  <c r="F28" i="67"/>
  <c r="C28" i="67" s="1"/>
  <c r="F32" i="67"/>
  <c r="F60" i="67" s="1"/>
  <c r="F28" i="15"/>
  <c r="C28" i="15" s="1"/>
  <c r="F31" i="12"/>
  <c r="C31" i="12" s="1"/>
  <c r="F30" i="69"/>
  <c r="D68" i="9"/>
  <c r="F30" i="68"/>
  <c r="F52" i="9"/>
  <c r="F32" i="15"/>
  <c r="F60" i="15" s="1"/>
  <c r="F54" i="9"/>
  <c r="N94" i="46"/>
  <c r="P6" i="1"/>
  <c r="C13" i="12" s="1"/>
  <c r="K16" i="1"/>
  <c r="D20" i="53"/>
  <c r="B40" i="72" s="1"/>
  <c r="K1" i="73"/>
  <c r="E510" i="3"/>
  <c r="E212" i="3"/>
  <c r="E199" i="3"/>
  <c r="E499" i="3"/>
  <c r="R6" i="3"/>
  <c r="E466" i="3"/>
  <c r="E541" i="3"/>
  <c r="E255" i="3"/>
  <c r="I3" i="6"/>
  <c r="E517" i="3"/>
  <c r="E435" i="3"/>
  <c r="E417" i="3"/>
  <c r="E479" i="3"/>
  <c r="E56" i="3"/>
  <c r="E95" i="3"/>
  <c r="E152" i="3"/>
  <c r="E192" i="3"/>
  <c r="E241" i="3"/>
  <c r="E292" i="3"/>
  <c r="E363" i="3"/>
  <c r="E389" i="3"/>
  <c r="E544" i="3"/>
  <c r="E76" i="3"/>
  <c r="E409" i="3"/>
  <c r="E484" i="3"/>
  <c r="E425" i="3"/>
  <c r="E64" i="3"/>
  <c r="E46" i="3"/>
  <c r="E103" i="3"/>
  <c r="E267" i="3"/>
  <c r="E249" i="3"/>
  <c r="E300" i="3"/>
  <c r="E310" i="3"/>
  <c r="E492" i="3"/>
  <c r="E23" i="3"/>
  <c r="E67" i="3"/>
  <c r="E33" i="3"/>
  <c r="E144" i="3"/>
  <c r="E233" i="3"/>
  <c r="E355" i="3"/>
  <c r="E381" i="3"/>
  <c r="E63" i="3"/>
  <c r="E81" i="3"/>
  <c r="E264" i="3"/>
  <c r="E309" i="3"/>
  <c r="E513" i="3"/>
  <c r="E21"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E69"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F59" i="15"/>
  <c r="P28" i="43"/>
  <c r="B66" i="40" s="1"/>
  <c r="P25" i="43"/>
  <c r="P29" i="43"/>
  <c r="P27" i="43"/>
  <c r="B70" i="39" s="1"/>
  <c r="C49" i="15"/>
  <c r="C32" i="67"/>
  <c r="M11" i="67"/>
  <c r="J10" i="67" s="1"/>
  <c r="F11" i="15"/>
  <c r="M11" i="15"/>
  <c r="J10" i="15" s="1"/>
  <c r="J5" i="15" s="1"/>
  <c r="J24" i="15" s="1"/>
  <c r="F11" i="67"/>
  <c r="F1" i="15"/>
  <c r="Q52" i="15"/>
  <c r="F1" i="67"/>
  <c r="Q52" i="67"/>
  <c r="Q61" i="67"/>
  <c r="Q74" i="67"/>
  <c r="Q74" i="15"/>
  <c r="Q61" i="15"/>
  <c r="AE11" i="1"/>
  <c r="AE9" i="1"/>
  <c r="F27" i="68"/>
  <c r="AE7" i="1"/>
  <c r="AE8" i="1"/>
  <c r="AE12" i="1"/>
  <c r="AE10" i="1"/>
  <c r="F41" i="67"/>
  <c r="C16" i="67"/>
  <c r="AE6" i="1"/>
  <c r="G1" i="73"/>
  <c r="Q60" i="67" l="1"/>
  <c r="C49" i="67"/>
  <c r="Q73" i="15"/>
  <c r="J5" i="67"/>
  <c r="J24" i="67" s="1"/>
  <c r="E554" i="3"/>
  <c r="E449" i="3"/>
  <c r="E442" i="3"/>
  <c r="E575" i="3"/>
  <c r="E536" i="3"/>
  <c r="E494" i="3"/>
  <c r="E283" i="3"/>
  <c r="E68" i="3"/>
  <c r="E184" i="3"/>
  <c r="E84" i="3"/>
  <c r="E371" i="3"/>
  <c r="E160" i="3"/>
  <c r="E467" i="3"/>
  <c r="E59" i="3"/>
  <c r="E349" i="3"/>
  <c r="E258" i="3"/>
  <c r="E37" i="3"/>
  <c r="E491" i="3"/>
  <c r="AP6" i="3"/>
  <c r="E430" i="3"/>
  <c r="E502" i="3"/>
  <c r="E286" i="3"/>
  <c r="D56" i="71"/>
  <c r="T56" i="71"/>
  <c r="D36" i="71"/>
  <c r="T36" i="71"/>
  <c r="T44" i="71"/>
  <c r="D44" i="71"/>
  <c r="C29" i="69"/>
  <c r="D27" i="69" s="1"/>
  <c r="C47" i="69"/>
  <c r="D45" i="69" s="1"/>
  <c r="B116" i="43"/>
  <c r="I122" i="43" s="1"/>
  <c r="J122" i="43" s="1"/>
  <c r="K122" i="43" s="1"/>
  <c r="L122" i="43" s="1"/>
  <c r="M122" i="43" s="1"/>
  <c r="E26" i="43"/>
  <c r="J26" i="43"/>
  <c r="F26" i="43"/>
  <c r="D26" i="43" s="1"/>
  <c r="C25" i="43" s="1"/>
  <c r="C33" i="43" s="1"/>
  <c r="E3" i="6"/>
  <c r="B14" i="74" s="1"/>
  <c r="H6" i="3"/>
  <c r="H26" i="43"/>
  <c r="N370" i="46"/>
  <c r="H11" i="40"/>
  <c r="J11" i="40"/>
  <c r="F11" i="40"/>
  <c r="W21" i="1"/>
  <c r="V22" i="1"/>
  <c r="S19" i="37"/>
  <c r="AA19" i="37"/>
  <c r="AB7" i="36"/>
  <c r="T36" i="36" s="1"/>
  <c r="G36" i="36" s="1"/>
  <c r="G41" i="36" s="1"/>
  <c r="H41" i="36" s="1"/>
  <c r="AC6" i="3"/>
  <c r="F48" i="68"/>
  <c r="C48" i="68"/>
  <c r="C30" i="68"/>
  <c r="C48" i="11"/>
  <c r="C30" i="11"/>
  <c r="F48" i="69"/>
  <c r="C30" i="69"/>
  <c r="C48" i="69"/>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E49" i="34"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6" i="37"/>
  <c r="H46" i="37" s="1"/>
  <c r="G48" i="35"/>
  <c r="U7" i="33"/>
  <c r="AB7" i="33"/>
  <c r="T48" i="33" s="1"/>
  <c r="G48" i="33" s="1"/>
  <c r="C53" i="67"/>
  <c r="C48" i="67" s="1"/>
  <c r="C10" i="67"/>
  <c r="C5" i="67" s="1"/>
  <c r="C38" i="67" s="1"/>
  <c r="C53" i="15"/>
  <c r="C48" i="15" s="1"/>
  <c r="C66" i="15" s="1"/>
  <c r="C10" i="15"/>
  <c r="C5" i="15" s="1"/>
  <c r="C38" i="15" s="1"/>
  <c r="M27" i="15"/>
  <c r="M27" i="67"/>
  <c r="F41" i="15"/>
  <c r="E6" i="3" l="1"/>
  <c r="AA11" i="40"/>
  <c r="S11" i="40"/>
  <c r="W11" i="40"/>
  <c r="AC11" i="40"/>
  <c r="AB11" i="40"/>
  <c r="U11" i="40"/>
  <c r="R50" i="34"/>
  <c r="C50" i="34" s="1"/>
  <c r="I53" i="34"/>
  <c r="J53" i="34" s="1"/>
  <c r="I46" i="37"/>
  <c r="J46" i="37" s="1"/>
  <c r="F25" i="12"/>
  <c r="C26" i="12" s="1"/>
  <c r="D25" i="12" s="1"/>
  <c r="F22" i="68"/>
  <c r="F41" i="68" s="1"/>
  <c r="F22" i="11"/>
  <c r="C24" i="11" s="1"/>
  <c r="D116" i="43"/>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D10" i="69"/>
  <c r="C34" i="69"/>
  <c r="D10" i="68"/>
  <c r="C17" i="67"/>
  <c r="C14" i="67"/>
  <c r="C17" i="15"/>
  <c r="C49" i="34" l="1"/>
  <c r="D30" i="6"/>
  <c r="C44" i="68"/>
  <c r="D41" i="68" s="1"/>
  <c r="C26" i="68"/>
  <c r="D22" i="68" s="1"/>
  <c r="C26" i="11"/>
  <c r="D22" i="11" s="1"/>
  <c r="C23" i="11"/>
  <c r="C25" i="11"/>
  <c r="C44" i="11"/>
  <c r="D41" i="11" s="1"/>
  <c r="C26" i="69"/>
  <c r="D22" i="69" s="1"/>
  <c r="H22" i="6"/>
  <c r="H21" i="6"/>
  <c r="H25" i="6"/>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8" i="68" l="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7" i="1"/>
  <c r="AO12"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l="1"/>
  <c r="B3" i="40" s="1"/>
  <c r="C6" i="68"/>
  <c r="C7" i="68" l="1"/>
  <c r="C5" i="68" s="1"/>
  <c r="C23" i="68" l="1"/>
  <c r="C20" i="68"/>
  <c r="C28" i="68" l="1"/>
  <c r="C27" i="68" s="1"/>
  <c r="C25" i="68"/>
  <c r="C22" i="68" s="1"/>
  <c r="C31" i="68" l="1"/>
  <c r="C52" i="68" s="1"/>
  <c r="B2" i="68" s="1"/>
  <c r="C19" i="9"/>
  <c r="C57" i="68" l="1"/>
  <c r="C56" i="68" s="1"/>
  <c r="C102" i="9"/>
  <c r="C21" i="9"/>
  <c r="G19" i="9"/>
  <c r="F34" i="9" s="1"/>
  <c r="D22" i="9"/>
  <c r="B3" i="68"/>
  <c r="C20" i="9"/>
  <c r="C103" i="9" l="1"/>
  <c r="G20" i="9"/>
  <c r="G21" i="9"/>
  <c r="C32" i="9"/>
  <c r="C35" i="9" l="1"/>
  <c r="D35" i="9" s="1"/>
  <c r="H118" i="9"/>
  <c r="C104" i="9" l="1"/>
  <c r="H119" i="9"/>
  <c r="H5" i="52" s="1"/>
  <c r="H4" i="52"/>
  <c r="H101" i="9"/>
  <c r="D14" i="74" s="1"/>
  <c r="I118" i="9"/>
  <c r="C34" i="9"/>
  <c r="D34" i="9" s="1"/>
  <c r="F118" i="9"/>
  <c r="D118" i="9" l="1"/>
  <c r="D4" i="52" s="1"/>
  <c r="B47" i="72" s="1"/>
  <c r="F14" i="74"/>
  <c r="B5" i="74"/>
  <c r="D5" i="74" s="1"/>
  <c r="E14" i="74"/>
  <c r="D45" i="9"/>
  <c r="H107" i="9"/>
  <c r="G14" i="74" s="1"/>
  <c r="B6" i="74" s="1"/>
  <c r="D6" i="74" s="1"/>
  <c r="D5" i="53"/>
  <c r="M48" i="9"/>
  <c r="F4" i="52"/>
  <c r="B51" i="72" s="1"/>
  <c r="G118" i="9"/>
  <c r="G4" i="52" s="1"/>
  <c r="B52" i="72" s="1"/>
  <c r="F119" i="9"/>
  <c r="F5" i="52" s="1"/>
  <c r="B53" i="72" s="1"/>
  <c r="C105" i="9"/>
  <c r="H102" i="9"/>
  <c r="I4" i="52"/>
  <c r="D119" i="9" l="1"/>
  <c r="D5" i="52" s="1"/>
  <c r="B49" i="72" s="1"/>
  <c r="E118" i="9"/>
  <c r="E4" i="52" s="1"/>
  <c r="B48" i="72" s="1"/>
  <c r="D6" i="53"/>
  <c r="B22" i="72" s="1"/>
  <c r="B20" i="72"/>
  <c r="D7" i="53"/>
  <c r="B21" i="72" s="1"/>
  <c r="C5" i="74"/>
  <c r="H108" i="9"/>
  <c r="D122" i="9"/>
  <c r="D13" i="53"/>
  <c r="M49" i="9"/>
  <c r="C72" i="9"/>
  <c r="D55" i="9"/>
  <c r="M53" i="9" s="1"/>
  <c r="C93" i="9"/>
  <c r="C86" i="9" s="1"/>
  <c r="C85" i="9"/>
  <c r="D52" i="9"/>
  <c r="D53" i="9"/>
  <c r="C64" i="9"/>
  <c r="C63" i="9" s="1"/>
  <c r="C67" i="9" s="1"/>
  <c r="C78" i="9"/>
  <c r="C73" i="9" s="1"/>
  <c r="C79" i="9" l="1"/>
  <c r="C95" i="9"/>
  <c r="L67" i="9"/>
  <c r="M67" i="9" s="1"/>
  <c r="L68" i="9"/>
  <c r="M68" i="9" s="1"/>
  <c r="L63" i="9"/>
  <c r="M63" i="9" s="1"/>
  <c r="L66" i="9"/>
  <c r="M66" i="9" s="1"/>
  <c r="L64" i="9"/>
  <c r="M64" i="9" s="1"/>
  <c r="L65" i="9"/>
  <c r="M65" i="9" s="1"/>
  <c r="C6" i="74"/>
  <c r="D15" i="53"/>
  <c r="B31" i="72" s="1"/>
  <c r="D14" i="53"/>
  <c r="B32" i="72" s="1"/>
  <c r="B30" i="72"/>
  <c r="C80" i="9"/>
  <c r="E80" i="9" s="1"/>
  <c r="E81" i="9" s="1"/>
  <c r="C68" i="9"/>
  <c r="D54" i="9" s="1"/>
  <c r="D59" i="9"/>
  <c r="M55" i="9" s="1"/>
  <c r="D8" i="52"/>
  <c r="D123" i="9"/>
  <c r="D9" i="52" s="1"/>
  <c r="C81" i="9" l="1"/>
  <c r="M69" i="9"/>
  <c r="N69" i="9" s="1"/>
  <c r="C96" i="9"/>
  <c r="E96" i="9" s="1"/>
  <c r="E97" i="9" s="1"/>
  <c r="C97" i="9" l="1"/>
  <c r="D58" i="9" s="1"/>
  <c r="D56" i="9" s="1"/>
  <c r="M54" i="9" s="1"/>
  <c r="N57" i="9" s="1"/>
  <c r="P57" i="9" s="1"/>
  <c r="N58" i="9" l="1"/>
  <c r="N59" i="9"/>
  <c r="N60" i="9" s="1"/>
  <c r="N61" i="9" l="1"/>
  <c r="F4" i="86"/>
  <c r="H4" i="86" l="1"/>
  <c r="J4" i="86" s="1"/>
  <c r="K4" i="8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微软用户</author>
  </authors>
  <commentList>
    <comment ref="Q12" authorId="0">
      <text>
        <r>
          <rPr>
            <b/>
            <sz val="9"/>
            <color indexed="81"/>
            <rFont val="宋体"/>
            <family val="3"/>
            <charset val="134"/>
          </rPr>
          <t>微软用户:</t>
        </r>
        <r>
          <rPr>
            <sz val="9"/>
            <color indexed="81"/>
            <rFont val="宋体"/>
            <family val="3"/>
            <charset val="134"/>
          </rPr>
          <t xml:space="preserve">
2#及1、2、3连廊</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<sst xmlns="http://schemas.openxmlformats.org/spreadsheetml/2006/main" count="8947" uniqueCount="3822">
  <si>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</si>
  <si>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</si>
  <si>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</si>
  <si>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</si>
  <si>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</si>
  <si>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</si>
  <si>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</si>
  <si>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</si>
  <si>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</si>
  <si>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</si>
  <si>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</si>
  <si>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</si>
  <si>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</si>
  <si>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</si>
  <si>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</si>
  <si>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</si>
  <si>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</si>
  <si>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</si>
  <si>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</si>
  <si>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</si>
  <si>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</si>
  <si>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</si>
  <si>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</si>
  <si>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</si>
  <si>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</si>
  <si>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</si>
  <si>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</si>
  <si>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</si>
  <si>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</si>
  <si>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</si>
  <si>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</si>
  <si>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</si>
  <si>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</si>
  <si>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</si>
  <si>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</si>
  <si>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</si>
  <si>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</si>
  <si>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</si>
  <si>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</si>
  <si>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</si>
  <si>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</si>
  <si>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</si>
  <si>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</si>
  <si>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</si>
  <si>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</si>
  <si>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</si>
  <si>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</si>
  <si>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</si>
  <si>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</si>
  <si>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</si>
  <si>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</si>
  <si>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</si>
  <si>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</si>
  <si>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</si>
  <si>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</si>
  <si>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</si>
  <si>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</si>
  <si>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</si>
  <si>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</si>
  <si>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</si>
  <si>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</si>
  <si>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</si>
  <si>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</si>
  <si>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</si>
  <si>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</si>
  <si>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</si>
  <si>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</si>
  <si>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</si>
  <si>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</si>
  <si>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</si>
  <si>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</si>
  <si>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</si>
  <si>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</si>
  <si>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</si>
  <si>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</si>
  <si>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</si>
  <si>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</si>
  <si>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</si>
  <si>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</si>
  <si>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</si>
  <si>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</si>
  <si>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</si>
  <si>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</si>
  <si>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</si>
  <si>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</si>
  <si>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</si>
  <si>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</si>
  <si>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</si>
  <si>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</si>
  <si>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</si>
  <si>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</si>
  <si>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</si>
  <si>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</si>
  <si>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</si>
  <si>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</si>
  <si>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</si>
  <si>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</si>
  <si>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</si>
  <si>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</si>
  <si>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</si>
  <si>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</si>
  <si>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</si>
  <si>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</si>
  <si>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</si>
  <si>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</si>
  <si>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</si>
  <si>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</si>
  <si>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</si>
  <si>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</si>
  <si>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</si>
  <si>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</si>
  <si>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</si>
  <si>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</si>
  <si>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</si>
  <si>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</si>
  <si>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</si>
  <si>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</si>
  <si>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</si>
  <si>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</si>
  <si>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</si>
  <si>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</si>
  <si>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</si>
  <si>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</si>
  <si>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</si>
  <si>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</si>
  <si>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</si>
  <si>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</si>
  <si>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</si>
  <si>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</si>
  <si>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</si>
  <si>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</si>
  <si>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</si>
  <si>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</si>
  <si>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</si>
  <si>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</si>
  <si>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</si>
  <si>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</si>
  <si>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</si>
  <si>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</si>
  <si>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</si>
  <si>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</si>
  <si>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</si>
  <si>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</si>
  <si>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</si>
  <si>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</si>
  <si>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</si>
  <si>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</si>
  <si>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</si>
  <si>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</si>
  <si>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</si>
  <si>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</si>
  <si>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</si>
  <si>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</si>
  <si>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</si>
  <si>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</si>
  <si>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</si>
  <si>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</si>
  <si>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</si>
  <si>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</si>
  <si>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</si>
  <si>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</si>
  <si>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</si>
  <si>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</si>
  <si>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</si>
  <si>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</si>
  <si>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</si>
  <si>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</si>
  <si>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</si>
  <si>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</si>
  <si>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</si>
  <si>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</si>
  <si>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</si>
  <si>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</si>
  <si>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</si>
  <si>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</si>
  <si>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</si>
  <si>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</si>
  <si>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</si>
  <si>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</si>
  <si>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</si>
  <si>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</si>
  <si>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</si>
  <si>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</si>
  <si>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</si>
  <si>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</si>
  <si>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</si>
  <si>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</si>
  <si>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</si>
  <si>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</si>
  <si>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</si>
  <si>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</si>
  <si>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</si>
  <si>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</si>
  <si>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</si>
  <si>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</si>
  <si>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</si>
  <si>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</si>
  <si>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</si>
  <si>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</si>
  <si>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</si>
  <si>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</si>
  <si>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</si>
  <si>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</si>
  <si>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</si>
  <si>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</si>
  <si>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</si>
  <si>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</si>
  <si>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</si>
  <si>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</si>
  <si>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</si>
  <si>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</si>
  <si>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</si>
  <si>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</si>
  <si>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</si>
  <si>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</si>
  <si>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</si>
  <si>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</si>
  <si>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</si>
  <si>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</si>
  <si>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</si>
  <si>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</si>
  <si>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</si>
  <si>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</si>
  <si>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</si>
  <si>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</si>
  <si>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</si>
  <si>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</si>
  <si>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</si>
  <si>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</si>
  <si>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</si>
  <si>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</si>
  <si>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</si>
  <si>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</si>
  <si>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</si>
  <si>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</si>
  <si>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</si>
  <si>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</si>
  <si>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</si>
  <si>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</si>
  <si>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</si>
  <si>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</si>
  <si>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</si>
  <si>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</si>
  <si>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</si>
  <si>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</si>
  <si>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</si>
  <si>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</si>
  <si>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</si>
  <si>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</si>
  <si>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</si>
  <si>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</si>
  <si>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</si>
  <si>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</si>
  <si>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</si>
  <si>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</si>
  <si>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</si>
  <si>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</si>
  <si>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</si>
  <si>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</si>
  <si>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</si>
  <si>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</si>
  <si>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</si>
  <si>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</si>
  <si>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</si>
  <si>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</si>
  <si>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</si>
  <si>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</si>
  <si>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</si>
  <si>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</si>
  <si>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</si>
  <si>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</si>
  <si>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</si>
  <si>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</si>
  <si>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</si>
  <si>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</si>
  <si>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</si>
  <si>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</si>
  <si>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</si>
  <si>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</si>
  <si>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</si>
  <si>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</si>
  <si>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</si>
  <si>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</si>
  <si>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</si>
  <si>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</si>
  <si>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</si>
  <si>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</si>
  <si>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</si>
  <si>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</si>
  <si>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</si>
  <si>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</si>
  <si>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</si>
  <si>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</si>
  <si>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</si>
  <si>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</si>
  <si>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</si>
  <si>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</si>
  <si>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</si>
  <si>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</si>
  <si>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</si>
  <si>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</si>
  <si>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</si>
  <si>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</si>
  <si>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</si>
  <si>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</si>
  <si>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</si>
  <si>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</si>
  <si>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</si>
  <si>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</si>
  <si>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</si>
  <si>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</si>
  <si>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</si>
  <si>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</si>
  <si>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</si>
  <si>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</si>
  <si>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</si>
  <si>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</si>
  <si>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</si>
  <si>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</si>
  <si>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</si>
  <si>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</si>
  <si>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</si>
  <si>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</si>
  <si>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</si>
  <si>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</si>
  <si>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</si>
  <si>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</si>
  <si>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</si>
  <si>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</si>
  <si>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</si>
  <si>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</si>
  <si>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</si>
  <si>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</si>
  <si>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</si>
  <si>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</si>
  <si>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</si>
  <si>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</si>
  <si>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</si>
  <si>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</si>
  <si>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</si>
  <si>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</si>
  <si>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</si>
  <si>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</si>
  <si>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</si>
  <si>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</si>
  <si>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</si>
  <si>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</si>
  <si>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</si>
  <si>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</si>
  <si>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</si>
  <si>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</si>
  <si>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</si>
  <si>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</si>
  <si>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</si>
  <si>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</si>
  <si>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</si>
  <si>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</si>
  <si>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</si>
  <si>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</si>
  <si>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</si>
  <si>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</si>
  <si>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</si>
  <si>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</si>
  <si>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</si>
  <si>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</si>
  <si>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</si>
  <si>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</si>
  <si>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</si>
  <si>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</si>
  <si>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</si>
  <si>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</si>
  <si>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</si>
  <si>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</si>
  <si>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</si>
  <si>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</si>
  <si>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</si>
  <si>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</si>
  <si>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</si>
  <si>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</si>
  <si>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</si>
  <si>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</si>
  <si>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</si>
  <si>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</si>
  <si>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</si>
  <si>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</si>
  <si>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</si>
  <si>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</si>
  <si>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</si>
  <si>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</si>
  <si>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</si>
  <si>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</si>
  <si>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</si>
  <si>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</si>
  <si>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</si>
  <si>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</si>
  <si>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</si>
  <si>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</si>
  <si>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</si>
  <si>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</si>
  <si>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</si>
  <si>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</si>
  <si>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</si>
  <si>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</si>
  <si>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</si>
  <si>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</si>
  <si>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</si>
  <si>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</si>
  <si>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</si>
  <si>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</si>
  <si>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</si>
  <si>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</si>
  <si>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</si>
  <si>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</si>
  <si>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</si>
  <si>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</si>
  <si>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</si>
  <si>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</si>
  <si>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</si>
  <si>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</si>
  <si>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</si>
  <si>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</si>
  <si>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</si>
  <si>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</si>
  <si>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</si>
  <si>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</si>
  <si>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</si>
  <si>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</si>
  <si>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</si>
  <si>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</si>
  <si>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</si>
  <si>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</si>
  <si>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</si>
  <si>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</si>
  <si>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</si>
  <si>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</si>
  <si>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</si>
  <si>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</si>
  <si>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</si>
  <si>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</si>
  <si>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</si>
  <si>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</si>
  <si>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</si>
  <si>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</si>
  <si>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</si>
  <si>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</si>
  <si>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</si>
  <si>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</si>
  <si>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</si>
  <si>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</si>
  <si>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</si>
  <si>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</si>
  <si>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</si>
  <si>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</si>
  <si>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</si>
  <si>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</si>
  <si>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</si>
  <si>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</si>
  <si>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</si>
  <si>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</si>
  <si>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</si>
  <si>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</si>
  <si>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</si>
  <si>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</si>
  <si>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</si>
  <si>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</si>
  <si>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</si>
  <si>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</si>
  <si>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</si>
  <si>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</si>
  <si>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</si>
  <si>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</si>
  <si>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</si>
  <si>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</si>
  <si>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</si>
  <si>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</si>
  <si>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</si>
  <si>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</si>
  <si>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</si>
  <si>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</si>
  <si>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</si>
  <si>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</si>
  <si>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</si>
  <si>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</si>
  <si>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</si>
  <si>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</si>
  <si>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</si>
  <si>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</si>
  <si>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</si>
  <si>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</si>
  <si>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</si>
  <si>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</si>
  <si>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</si>
  <si>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</si>
  <si>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</si>
  <si>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</si>
  <si>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</si>
  <si>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</si>
  <si>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</si>
  <si>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</si>
  <si>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</si>
  <si>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</si>
  <si>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</si>
  <si>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</si>
  <si>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</si>
  <si>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</si>
  <si>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</si>
  <si>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</si>
  <si>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</si>
  <si>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</si>
  <si>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</si>
  <si>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</si>
  <si>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</si>
  <si>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</si>
  <si>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</si>
  <si>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</si>
  <si>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</si>
  <si>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</si>
  <si>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</si>
  <si>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</si>
  <si>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</si>
  <si>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</si>
  <si>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</si>
  <si>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</si>
  <si>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</si>
  <si>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</si>
  <si>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</si>
  <si>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</si>
  <si>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</si>
  <si>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</si>
  <si>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</si>
  <si>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</si>
  <si>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</si>
  <si>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</si>
  <si>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</si>
  <si>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</si>
  <si>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</si>
  <si>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</si>
  <si>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</si>
  <si>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</si>
  <si>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</si>
  <si>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</si>
  <si>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</si>
  <si>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</si>
  <si>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</si>
  <si>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</si>
  <si>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</si>
  <si>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</si>
  <si>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</si>
  <si>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</si>
  <si>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</si>
  <si>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</si>
  <si>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</si>
  <si>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</si>
  <si>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</si>
  <si>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</si>
  <si>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</si>
  <si>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</si>
  <si>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</si>
  <si>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</si>
  <si>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</si>
  <si>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</si>
  <si>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</si>
  <si>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</si>
  <si>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</si>
  <si>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</si>
  <si>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</si>
  <si>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</si>
  <si>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</si>
  <si>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</si>
  <si>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</si>
  <si>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</si>
  <si>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</si>
  <si>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</si>
  <si>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</si>
  <si>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</si>
  <si>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</si>
  <si>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</si>
  <si>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</si>
  <si>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</si>
  <si>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</si>
  <si>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</si>
  <si>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</si>
  <si>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</si>
  <si>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</si>
  <si>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</si>
  <si>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</si>
  <si>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</si>
  <si>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</si>
  <si>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</si>
  <si>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</si>
  <si>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</si>
  <si>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</si>
  <si>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</si>
  <si>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</si>
  <si>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</si>
  <si>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</si>
  <si>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</si>
  <si>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</si>
  <si>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</si>
  <si>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</si>
  <si>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</si>
  <si>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</si>
  <si>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</si>
  <si>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</si>
  <si>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</si>
  <si>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</si>
  <si>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</si>
  <si>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</si>
  <si>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</si>
  <si>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</si>
  <si>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</si>
  <si>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</si>
  <si>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</si>
  <si>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</si>
  <si>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</si>
  <si>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</si>
  <si>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</si>
  <si>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</si>
  <si>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</si>
  <si>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</si>
  <si>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</si>
  <si>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</si>
  <si>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</si>
  <si>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</si>
  <si>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</si>
  <si>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</si>
  <si>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</si>
  <si>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</si>
  <si>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</si>
  <si>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</si>
  <si>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</si>
  <si>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</si>
  <si>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</si>
  <si>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</si>
  <si>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</si>
  <si>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</si>
  <si>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</si>
  <si>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</si>
  <si>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</si>
  <si>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</si>
  <si>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</si>
  <si>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</si>
  <si>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</si>
  <si>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</si>
  <si>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</si>
  <si>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</si>
  <si>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</si>
  <si>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</si>
  <si>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</si>
  <si>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</si>
  <si>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</si>
  <si>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</si>
  <si>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</si>
  <si>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</si>
  <si>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</si>
  <si>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</si>
  <si>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</si>
  <si>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</si>
  <si>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</si>
  <si>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</si>
  <si>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</si>
  <si>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</si>
  <si>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</si>
  <si>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</si>
  <si>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</si>
  <si>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</si>
  <si>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</si>
  <si>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</si>
  <si>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</si>
  <si>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</si>
  <si>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</si>
  <si>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</si>
  <si>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</si>
  <si>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</si>
  <si>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</si>
  <si>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</si>
  <si>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</si>
  <si>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</si>
  <si>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</si>
  <si>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</si>
  <si>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</si>
  <si>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</si>
  <si>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</si>
  <si>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</si>
  <si>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</si>
  <si>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</si>
  <si>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</si>
  <si>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</si>
  <si>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</si>
  <si>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</si>
  <si>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</si>
  <si>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</si>
  <si>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</si>
  <si>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</si>
  <si>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</si>
  <si>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</si>
  <si>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</si>
  <si>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</si>
  <si>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</si>
  <si>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</si>
  <si>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</si>
  <si>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</si>
  <si>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</si>
  <si>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</si>
  <si>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</si>
  <si>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</si>
  <si>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</si>
  <si>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</si>
  <si>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</si>
  <si>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</si>
  <si>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</si>
  <si>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</si>
  <si>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</si>
  <si>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</si>
  <si>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</si>
  <si>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</si>
  <si>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</si>
  <si>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</si>
  <si>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</si>
  <si>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</si>
  <si>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</si>
  <si>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</si>
  <si>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</si>
  <si>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</si>
  <si>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</si>
  <si>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</si>
  <si>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</si>
  <si>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</si>
  <si>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</si>
  <si>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</si>
  <si>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</si>
  <si>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</si>
  <si>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</si>
  <si>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</si>
  <si>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</si>
  <si>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</si>
  <si>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</si>
  <si>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</si>
  <si>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</si>
  <si>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</si>
  <si>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</si>
  <si>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</si>
  <si>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</si>
  <si>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</si>
  <si>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</si>
  <si>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</si>
  <si>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</si>
  <si>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</si>
  <si>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</si>
  <si>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</si>
  <si>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</si>
  <si>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</si>
  <si>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</si>
  <si>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</si>
  <si>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</si>
  <si>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</si>
  <si>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</si>
  <si>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</si>
  <si>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</si>
  <si>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</si>
  <si>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</si>
  <si>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</si>
  <si>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</si>
  <si>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</si>
  <si>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</si>
  <si>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</si>
  <si>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</si>
  <si>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</si>
  <si>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</si>
  <si>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</si>
  <si>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</si>
  <si>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</si>
  <si>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</si>
  <si>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</si>
  <si>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</si>
  <si>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</si>
  <si>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</si>
  <si>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</si>
  <si>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</si>
  <si>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</si>
  <si>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</si>
  <si>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</si>
  <si>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</si>
  <si>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</si>
  <si>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</si>
  <si>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</si>
  <si>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</si>
  <si>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</si>
  <si>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</si>
  <si>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</si>
  <si>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</si>
  <si>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</si>
  <si>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</si>
  <si>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</si>
  <si>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</si>
  <si>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</si>
  <si>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</si>
  <si>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</si>
  <si>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</si>
  <si>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</si>
  <si>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</si>
  <si>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</si>
  <si>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</si>
  <si>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</si>
  <si>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</si>
  <si>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</si>
  <si>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</si>
  <si>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</si>
  <si>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</si>
  <si>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</si>
  <si>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</si>
  <si>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</si>
  <si>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</si>
  <si>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</si>
  <si>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</si>
  <si>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</si>
  <si>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</si>
  <si>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</si>
  <si>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</si>
  <si>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</si>
  <si>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</si>
  <si>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</si>
  <si>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</si>
  <si>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</si>
  <si>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</si>
  <si>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</si>
  <si>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</si>
  <si>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</si>
  <si>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</si>
  <si>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</si>
  <si>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</si>
  <si>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</si>
  <si>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</si>
  <si>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</si>
  <si>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</si>
  <si>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</si>
  <si>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</si>
  <si>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</si>
  <si>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</si>
  <si>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</si>
  <si>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</si>
  <si>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</si>
  <si>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</si>
  <si>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</si>
  <si>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</si>
  <si>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</si>
  <si>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</si>
  <si>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</si>
  <si>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</si>
  <si>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</si>
  <si>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</si>
  <si>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</si>
  <si>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</si>
  <si>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</si>
  <si>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</si>
  <si>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</si>
  <si>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</si>
  <si>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</si>
  <si>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</si>
  <si>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</si>
  <si>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</si>
  <si>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</si>
  <si>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</si>
  <si>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</si>
  <si>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</si>
  <si>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</si>
  <si>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</si>
  <si>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</si>
  <si>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</si>
  <si>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</si>
  <si>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</si>
  <si>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</si>
  <si>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</si>
  <si>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</si>
  <si>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</si>
  <si>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</si>
  <si>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</si>
  <si>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</si>
  <si>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</si>
  <si>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</si>
  <si>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</si>
  <si>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</si>
  <si>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</si>
  <si>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</si>
  <si>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</si>
  <si>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</si>
  <si>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</si>
  <si>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</si>
  <si>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</si>
  <si>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</si>
  <si>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</si>
  <si>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</si>
  <si>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</si>
  <si>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</si>
  <si>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</si>
  <si>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</si>
  <si>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</si>
  <si>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</si>
  <si>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</si>
  <si>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</si>
  <si>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</si>
  <si>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</si>
  <si>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</si>
  <si>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</si>
  <si>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</si>
  <si>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</si>
  <si>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</si>
  <si>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</si>
  <si>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</si>
  <si>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</si>
  <si>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</si>
  <si>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</si>
  <si>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</si>
  <si>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</si>
  <si>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</si>
  <si>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</si>
  <si>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</si>
  <si>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</si>
  <si>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</si>
  <si>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</si>
  <si>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</si>
  <si>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</si>
  <si>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</si>
  <si>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</si>
  <si>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</si>
  <si>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</si>
  <si>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</si>
  <si>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</si>
  <si>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</si>
  <si>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</si>
  <si>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</si>
  <si>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</si>
  <si>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</si>
  <si>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</si>
  <si>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</si>
  <si>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</si>
  <si>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</si>
  <si>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</si>
  <si>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</si>
  <si>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</si>
  <si>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</si>
  <si>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</si>
  <si>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</si>
  <si>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</si>
  <si>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</si>
  <si>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</si>
  <si>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</si>
  <si>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</si>
  <si>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</si>
  <si>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</si>
  <si>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</si>
  <si>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</si>
  <si>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</si>
  <si>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</si>
  <si>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</si>
  <si>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</si>
  <si>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</si>
  <si>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</si>
  <si>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</si>
  <si>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</si>
  <si>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</si>
  <si>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</si>
  <si>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</si>
  <si>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</si>
  <si>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</si>
  <si>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</si>
  <si>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</si>
  <si>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</si>
  <si>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</si>
  <si>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</si>
  <si>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</si>
  <si>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</si>
  <si>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</si>
  <si>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</si>
  <si>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</si>
  <si>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</si>
  <si>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</si>
  <si>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</si>
  <si>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</si>
  <si>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</si>
  <si>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</si>
  <si>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</si>
  <si>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</si>
  <si>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</si>
  <si>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</si>
  <si>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</si>
  <si>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</si>
  <si>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</si>
  <si>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</si>
  <si>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</si>
  <si>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</si>
  <si>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</si>
  <si>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</si>
  <si>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</si>
  <si>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</si>
  <si>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</si>
  <si>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</si>
  <si>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</si>
  <si>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</si>
  <si>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</si>
  <si>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</si>
  <si>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</si>
  <si>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</si>
  <si>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</si>
  <si>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</si>
  <si>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</si>
  <si>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</si>
  <si>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</si>
  <si>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</si>
  <si>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</si>
  <si>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</si>
  <si>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</si>
  <si>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</si>
  <si>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</si>
  <si>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</si>
  <si>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</si>
  <si>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</si>
  <si>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</si>
  <si>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</si>
  <si>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</si>
  <si>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</si>
  <si>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</si>
  <si>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</si>
  <si>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</si>
  <si>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</si>
  <si>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</si>
  <si>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</si>
  <si>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</si>
  <si>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</si>
  <si>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</si>
  <si>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</si>
  <si>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</si>
  <si>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</si>
  <si>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</si>
  <si>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</si>
  <si>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</si>
  <si>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</si>
  <si>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</si>
  <si>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</si>
  <si>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</si>
  <si>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</si>
  <si>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</si>
  <si>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</si>
  <si>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</si>
  <si>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</si>
  <si>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</si>
  <si>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</si>
  <si>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</si>
  <si>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</si>
  <si>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</si>
  <si>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</si>
  <si>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</si>
  <si>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</si>
  <si>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</si>
  <si>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</si>
  <si>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</si>
  <si>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</si>
  <si>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</si>
  <si>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</si>
  <si>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</si>
  <si>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</si>
  <si>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</si>
  <si>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</si>
  <si>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</si>
  <si>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</si>
  <si>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</si>
  <si>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</si>
  <si>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</si>
  <si>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</si>
  <si>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</si>
  <si>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</si>
  <si>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</si>
  <si>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</si>
  <si>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</si>
  <si>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</si>
  <si>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</si>
  <si>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</si>
  <si>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</si>
  <si>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</si>
  <si>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</si>
  <si>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</si>
  <si>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</si>
  <si>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</si>
  <si>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</si>
  <si>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</si>
  <si>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</si>
  <si>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</si>
  <si>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</si>
  <si>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</si>
  <si>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</si>
  <si>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</si>
  <si>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</si>
  <si>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</si>
  <si>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</si>
  <si>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</si>
  <si>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</si>
  <si>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</si>
  <si>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</si>
  <si>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</si>
  <si>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</si>
  <si>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</si>
  <si>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</si>
  <si>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</si>
  <si>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</si>
  <si>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</si>
  <si>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</si>
  <si>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</si>
  <si>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</si>
  <si>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</si>
  <si>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</si>
  <si>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</si>
  <si>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</si>
  <si>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</si>
  <si>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</si>
  <si>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</si>
  <si>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</si>
  <si>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</si>
  <si>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</si>
  <si>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</si>
  <si>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</si>
  <si>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</si>
  <si>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</si>
  <si>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</si>
  <si>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</si>
  <si>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</si>
  <si>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</si>
  <si>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</si>
  <si>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</si>
  <si>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</si>
  <si>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</si>
  <si>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</si>
  <si>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</si>
  <si>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</si>
  <si>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</si>
  <si>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</si>
  <si>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</si>
  <si>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</si>
  <si>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</si>
  <si>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</si>
  <si>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</si>
  <si>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</si>
  <si>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</si>
  <si>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</si>
  <si>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</si>
  <si>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</si>
  <si>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</si>
  <si>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</si>
  <si>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</si>
  <si>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</si>
  <si>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</si>
  <si>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</si>
  <si>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</si>
  <si>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</si>
  <si>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</si>
  <si>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</si>
  <si>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</si>
  <si>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</si>
  <si>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</si>
  <si>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</si>
  <si>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</si>
  <si>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</si>
  <si>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</si>
  <si>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</si>
  <si>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</si>
  <si>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</si>
  <si>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</si>
  <si>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</si>
  <si>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</si>
  <si>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</si>
  <si>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</si>
  <si>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</si>
  <si>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</si>
  <si>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</si>
  <si>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</si>
  <si>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</si>
  <si>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</si>
  <si>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</si>
  <si>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</si>
  <si>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</si>
  <si>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</si>
  <si>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</si>
  <si>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</si>
  <si>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</si>
  <si>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</si>
  <si>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</si>
  <si>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</si>
  <si>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</si>
  <si>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</si>
  <si>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</si>
  <si>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</si>
  <si>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</si>
  <si>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</si>
  <si>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</si>
  <si>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</si>
  <si>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</si>
  <si>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</si>
  <si>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</si>
  <si>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</si>
  <si>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</si>
  <si>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</si>
  <si>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</si>
  <si>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</si>
  <si>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</si>
  <si>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</si>
  <si>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</si>
  <si>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</si>
  <si>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</si>
  <si>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</si>
  <si>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</si>
  <si>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</si>
  <si>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</si>
  <si>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</si>
  <si>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</si>
  <si>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</si>
  <si>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</si>
  <si>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</si>
  <si>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</si>
  <si>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</si>
  <si>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</si>
  <si>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</si>
  <si>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</si>
  <si>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</si>
  <si>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</si>
  <si>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</si>
  <si>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</si>
  <si>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</si>
  <si>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</si>
  <si>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</si>
  <si>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</si>
  <si>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</si>
  <si>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</si>
  <si>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</si>
  <si>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</si>
  <si>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</si>
  <si>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</si>
  <si>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</si>
  <si>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</si>
  <si>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</si>
  <si>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</si>
  <si>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</si>
  <si>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</si>
  <si>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</si>
  <si>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</si>
  <si>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</si>
  <si>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</si>
  <si>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</si>
  <si>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</si>
  <si>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</si>
  <si>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</si>
  <si>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</si>
  <si>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</si>
  <si>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</si>
  <si>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</si>
  <si>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</si>
  <si>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</si>
  <si>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</si>
  <si>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</si>
  <si>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</si>
  <si>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</si>
  <si>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</si>
  <si>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</si>
  <si>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</si>
  <si>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</si>
  <si>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</si>
  <si>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</si>
  <si>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</si>
  <si>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</si>
  <si>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</si>
  <si>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</si>
  <si>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</si>
  <si>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</si>
  <si>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</si>
  <si>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</si>
  <si>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</si>
  <si>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</si>
  <si>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</si>
  <si>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</si>
  <si>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</si>
  <si>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</si>
  <si>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</si>
  <si>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</si>
  <si>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</si>
  <si>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</si>
  <si>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</si>
  <si>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</si>
  <si>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</si>
  <si>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</si>
  <si>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</si>
  <si>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</si>
  <si>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</si>
  <si>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</si>
  <si>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</si>
  <si>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</si>
  <si>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</si>
  <si>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</si>
  <si>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</si>
  <si>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</si>
  <si>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</si>
  <si>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</si>
  <si>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</si>
  <si>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</si>
  <si>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</si>
  <si>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</si>
  <si>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</si>
  <si>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</si>
  <si>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</si>
  <si>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</si>
  <si>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</si>
  <si>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</si>
  <si>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</si>
  <si>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</si>
  <si>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</si>
  <si>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</si>
  <si>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</si>
  <si>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</si>
  <si>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</si>
  <si>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</si>
  <si>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</si>
  <si>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</si>
  <si>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</si>
  <si>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</si>
  <si>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</si>
  <si>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</si>
  <si>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</si>
  <si>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</si>
  <si>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</si>
  <si>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</si>
  <si>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</si>
  <si>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</si>
  <si>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</si>
  <si>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</si>
  <si>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</si>
  <si>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</si>
  <si>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</si>
  <si>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</si>
  <si>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</si>
  <si>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</si>
  <si>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</si>
  <si>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</si>
  <si>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</si>
  <si>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</si>
  <si>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</si>
  <si>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</si>
  <si>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</si>
  <si>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</si>
  <si>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</si>
  <si>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</si>
  <si>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</si>
  <si>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</si>
  <si>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</si>
  <si>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</si>
  <si>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</si>
  <si>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</si>
  <si>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</si>
  <si>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</si>
  <si>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</si>
  <si>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</si>
  <si>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</si>
  <si>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</si>
  <si>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</si>
  <si>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</si>
  <si>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</si>
  <si>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</si>
  <si>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</si>
  <si>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</si>
  <si>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</si>
  <si>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</si>
  <si>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</si>
  <si>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</si>
  <si>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</si>
  <si>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</si>
  <si>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</si>
  <si>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</si>
  <si>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</si>
  <si>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</si>
  <si>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</si>
  <si>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</si>
  <si>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</si>
  <si>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</si>
  <si>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</si>
  <si>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</si>
  <si>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</si>
  <si>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</si>
  <si>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</si>
  <si>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</si>
  <si>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</si>
  <si>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</si>
  <si>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</si>
  <si>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</si>
  <si>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</si>
  <si>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</si>
  <si>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</si>
  <si>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</si>
  <si>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</si>
  <si>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</si>
  <si>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</si>
  <si>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</si>
  <si>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</si>
  <si>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</si>
  <si>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</si>
  <si>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</si>
  <si>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</si>
  <si>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</si>
  <si>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</si>
  <si>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</si>
  <si>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</si>
  <si>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</si>
  <si>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</si>
  <si>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</si>
  <si>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</si>
  <si>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</si>
  <si>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</si>
  <si>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</si>
  <si>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</si>
  <si>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</si>
  <si>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</si>
  <si>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</si>
  <si>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</si>
  <si>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</si>
  <si>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</si>
  <si>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</si>
  <si>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</si>
  <si>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</si>
  <si>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</si>
  <si>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</si>
  <si>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</si>
  <si>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</si>
  <si>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</si>
  <si>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</si>
  <si>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</si>
  <si>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</si>
  <si>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</si>
  <si>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</si>
  <si>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</si>
  <si>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</si>
  <si>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</si>
  <si>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</si>
  <si>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</si>
  <si>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</si>
  <si>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</si>
  <si>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</si>
  <si>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</si>
  <si>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</si>
  <si>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</si>
  <si>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</si>
  <si>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</si>
  <si>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</si>
  <si>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</si>
  <si>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</si>
  <si>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</si>
  <si>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</si>
  <si>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</si>
  <si>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</si>
  <si>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</si>
  <si>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</si>
  <si>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</si>
  <si>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</si>
  <si>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</si>
  <si>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</si>
  <si>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</si>
  <si>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</si>
  <si>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</si>
  <si>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</si>
  <si>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</si>
  <si>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</si>
  <si>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</si>
  <si>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</si>
  <si>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</si>
  <si>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</si>
  <si>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</si>
  <si>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</si>
  <si>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</si>
  <si>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</si>
  <si>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</si>
  <si>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</si>
  <si>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</si>
  <si>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</si>
  <si>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</si>
  <si>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</si>
  <si>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</si>
  <si>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</si>
  <si>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</si>
  <si>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</si>
  <si>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</si>
  <si>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</si>
  <si>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</si>
  <si>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</si>
  <si>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</si>
  <si>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</si>
  <si>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</si>
  <si>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</si>
  <si>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</si>
  <si>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</si>
  <si>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</si>
  <si>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</si>
  <si>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</si>
  <si>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</si>
  <si>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</si>
  <si>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</si>
  <si>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</si>
  <si>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</si>
  <si>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</si>
  <si>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</si>
  <si>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</si>
  <si>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</si>
  <si>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</si>
  <si>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</si>
  <si>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</si>
  <si>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</si>
  <si>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</si>
  <si>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</si>
  <si>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</si>
  <si>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</si>
  <si>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</si>
  <si>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</si>
  <si>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</si>
  <si>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</si>
  <si>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</si>
  <si>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</si>
  <si>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</si>
  <si>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</si>
  <si>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</si>
  <si>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</si>
  <si>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</si>
  <si>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</si>
  <si>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</si>
  <si>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</si>
  <si>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</si>
  <si>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</si>
  <si>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</si>
  <si>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</si>
  <si>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</si>
  <si>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</si>
  <si>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</si>
  <si>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</si>
  <si>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</si>
  <si>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</si>
  <si>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</si>
  <si>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</si>
  <si>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</si>
  <si>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</si>
  <si>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</si>
  <si>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</si>
  <si>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</si>
  <si>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</si>
  <si>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</si>
  <si>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</si>
  <si>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</si>
  <si>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</si>
  <si>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</si>
  <si>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</si>
  <si>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</si>
  <si>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</si>
  <si>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</si>
  <si>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</si>
  <si>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</si>
  <si>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</si>
  <si>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</si>
  <si>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</si>
  <si>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</si>
  <si>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</si>
  <si>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</si>
  <si>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</si>
  <si>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</si>
  <si>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</si>
  <si>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</si>
  <si>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</si>
  <si>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</si>
  <si>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</si>
  <si>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</si>
  <si>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</si>
  <si>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</si>
  <si>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</si>
  <si>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</si>
  <si>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</si>
  <si>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</si>
  <si>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</si>
  <si>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</si>
  <si>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</si>
  <si>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</si>
  <si>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</si>
  <si>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</si>
  <si>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</si>
  <si>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</si>
  <si>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</si>
  <si>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</si>
  <si>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</si>
  <si>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</si>
  <si>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</si>
  <si>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</si>
  <si>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</si>
  <si>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</si>
  <si>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</si>
  <si>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</si>
  <si>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</si>
  <si>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</si>
  <si>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</si>
  <si>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</si>
  <si>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</si>
  <si>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</si>
  <si>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</si>
  <si>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</si>
  <si>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</si>
  <si>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</si>
  <si>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</si>
  <si>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</si>
  <si>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</si>
  <si>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</si>
  <si>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</si>
  <si>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</si>
  <si>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</si>
  <si>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</si>
  <si>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</si>
  <si>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</si>
  <si>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</si>
  <si>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</si>
  <si>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</si>
  <si>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</si>
  <si>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</si>
  <si>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</si>
  <si>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</si>
  <si>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</si>
  <si>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</si>
  <si>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</si>
  <si>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</si>
  <si>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</si>
  <si>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</si>
  <si>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</si>
  <si>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</si>
  <si>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</si>
  <si>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</si>
  <si>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</si>
  <si>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</si>
  <si>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</si>
  <si>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</si>
  <si>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</si>
  <si>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</si>
  <si>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</si>
  <si>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</si>
  <si>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</si>
  <si>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</si>
  <si>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</si>
  <si>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</si>
  <si>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</si>
  <si>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</si>
  <si>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</si>
  <si>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</si>
  <si>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</si>
  <si>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</si>
  <si>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</si>
  <si>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</si>
  <si>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</si>
  <si>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</si>
  <si>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</si>
  <si>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</si>
  <si>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</si>
  <si>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</si>
  <si>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</si>
  <si>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</si>
  <si>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</si>
  <si>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</si>
  <si>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</si>
  <si>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</si>
  <si>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</si>
  <si>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</si>
  <si>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</si>
  <si>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</si>
  <si>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</si>
  <si>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</si>
  <si>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</si>
  <si>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</si>
  <si>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</si>
  <si>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</si>
  <si>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</si>
  <si>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</si>
  <si>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</si>
  <si>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</si>
  <si>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</si>
  <si>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</si>
  <si>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</si>
  <si>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</si>
  <si>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</si>
  <si>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</si>
  <si>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</si>
  <si>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</si>
  <si>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</si>
  <si>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</si>
  <si>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</si>
  <si>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</si>
  <si>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</si>
  <si>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</si>
  <si>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</si>
  <si>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</si>
  <si>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</si>
  <si>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</si>
  <si>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</si>
  <si>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</si>
  <si>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</si>
  <si>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</si>
  <si>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</si>
  <si>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</si>
  <si>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</si>
  <si>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</si>
  <si>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</si>
  <si>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</si>
  <si>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</si>
  <si>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</si>
  <si>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</si>
  <si>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</si>
  <si>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</si>
  <si>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</si>
  <si>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</si>
  <si>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</si>
  <si>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</si>
  <si>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</si>
  <si>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</si>
  <si>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</si>
  <si>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</si>
  <si>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</si>
  <si>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</si>
  <si>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</si>
  <si>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</si>
  <si>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</si>
  <si>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</si>
  <si>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</si>
  <si>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</si>
  <si>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</si>
  <si>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</si>
  <si>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</si>
  <si>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</si>
  <si>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</si>
  <si>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</si>
  <si>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</si>
  <si>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</si>
  <si>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</si>
  <si>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</si>
  <si>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</si>
  <si>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</si>
  <si>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</si>
  <si>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</si>
  <si>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</si>
  <si>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</si>
  <si>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</si>
  <si>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</si>
  <si>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</si>
  <si>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</si>
  <si>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</si>
  <si>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</si>
  <si>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</si>
  <si>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</si>
  <si>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</si>
  <si>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</si>
  <si>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</si>
  <si>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</si>
  <si>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</si>
  <si>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</si>
  <si>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</si>
  <si>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</si>
  <si>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</si>
  <si>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</si>
  <si>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</si>
  <si>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</si>
  <si>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</si>
  <si>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</si>
  <si>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</si>
  <si>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</si>
  <si>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</si>
  <si>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</si>
  <si>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</si>
  <si>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</si>
  <si>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</si>
  <si>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</si>
  <si>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</si>
  <si>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</si>
  <si>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</si>
  <si>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</si>
  <si>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</si>
  <si>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</si>
  <si>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</si>
  <si>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</si>
  <si>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</si>
  <si>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</si>
  <si>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</si>
  <si>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</si>
  <si>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</si>
  <si>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</si>
  <si>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</si>
  <si>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</si>
  <si>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</si>
  <si>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</si>
  <si>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</si>
  <si>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</si>
  <si>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</si>
  <si>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</si>
  <si>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</si>
  <si>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</si>
  <si>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</si>
  <si>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</si>
  <si>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</si>
  <si>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</si>
  <si>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</si>
  <si>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</si>
  <si>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</si>
  <si>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</si>
  <si>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</si>
  <si>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</si>
  <si>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</si>
  <si>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</si>
  <si>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</si>
  <si>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</si>
  <si>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</si>
  <si>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</si>
  <si>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</si>
  <si>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</si>
  <si>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</si>
  <si>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</si>
  <si>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</si>
  <si>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</si>
  <si>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</si>
  <si>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</si>
  <si>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</si>
  <si>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</si>
  <si>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</si>
  <si>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</si>
  <si>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</si>
  <si>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</si>
  <si>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</si>
  <si>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</si>
  <si>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</si>
  <si>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</si>
  <si>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</si>
  <si>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</si>
  <si>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</si>
  <si>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</si>
  <si>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</si>
  <si>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</si>
  <si>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</si>
  <si>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</si>
  <si>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</si>
  <si>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</si>
  <si>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</si>
  <si>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</si>
  <si>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</si>
  <si>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</si>
  <si>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</si>
  <si>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</si>
  <si>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</si>
  <si>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</si>
  <si>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</si>
  <si>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</si>
  <si>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</si>
  <si>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</si>
  <si>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</si>
  <si>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</si>
  <si>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</si>
  <si>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</si>
  <si>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</si>
  <si>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</si>
  <si>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</si>
  <si>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</si>
  <si>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</si>
  <si>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</si>
  <si>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</si>
  <si>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</si>
  <si>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</si>
  <si>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</si>
  <si>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</si>
  <si>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</si>
  <si>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</si>
  <si>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</si>
  <si>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</si>
  <si>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</si>
  <si>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</si>
  <si>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</si>
  <si>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</si>
  <si>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</si>
  <si>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</si>
  <si>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</si>
  <si>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</si>
  <si>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</si>
  <si>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</si>
  <si>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</si>
  <si>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</si>
  <si>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</si>
  <si>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</si>
  <si>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</si>
  <si>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</si>
  <si>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</si>
  <si>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</si>
  <si>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</si>
  <si>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</si>
  <si>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</si>
  <si>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</si>
  <si>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</si>
  <si>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</si>
  <si>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</si>
  <si>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</si>
  <si>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</si>
  <si>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</si>
  <si>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</si>
  <si>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</si>
  <si>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</si>
  <si>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</si>
  <si>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</si>
  <si>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</si>
  <si>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</si>
  <si>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</si>
  <si>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</si>
  <si>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</si>
  <si>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</si>
  <si>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</si>
  <si>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</si>
  <si>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</si>
  <si>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</si>
  <si>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</si>
  <si>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</si>
  <si>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</si>
  <si>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</si>
  <si>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</si>
  <si>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</si>
  <si>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</si>
  <si>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</si>
  <si>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</si>
  <si>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</si>
  <si>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</si>
  <si>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</si>
  <si>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</si>
  <si>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</si>
  <si>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</si>
  <si>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</si>
  <si>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</si>
  <si>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</si>
  <si>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</si>
  <si>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</si>
  <si>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</si>
  <si>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</si>
  <si>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</si>
  <si>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</si>
  <si>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</si>
  <si>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</si>
  <si>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</si>
  <si>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</si>
  <si>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</si>
  <si>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</si>
  <si>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</si>
  <si>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</si>
  <si>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</si>
  <si>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</si>
  <si>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</si>
  <si>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</si>
  <si>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</si>
  <si>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</si>
  <si>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</si>
  <si>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</si>
  <si>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</si>
  <si>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</si>
  <si>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</si>
  <si>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</si>
  <si>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</si>
  <si>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</si>
  <si>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</si>
  <si>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</si>
  <si>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</si>
  <si>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</si>
  <si>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</si>
  <si>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</si>
  <si>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</si>
  <si>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</si>
  <si>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</si>
  <si>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</si>
  <si>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</si>
  <si>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</si>
  <si>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</si>
  <si>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</si>
  <si>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</si>
  <si>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</si>
  <si>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</si>
  <si>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</si>
  <si>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</si>
  <si>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</si>
  <si>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</si>
  <si>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</si>
  <si>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</si>
  <si>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</si>
  <si>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</si>
  <si>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</si>
  <si>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</si>
  <si>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</si>
  <si>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</si>
  <si>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</si>
  <si>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</si>
  <si>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</si>
  <si>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</si>
  <si>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</si>
  <si>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</si>
  <si>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</si>
  <si>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</si>
  <si>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</si>
  <si>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</si>
  <si>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</si>
  <si>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</si>
  <si>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</si>
  <si>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</si>
  <si>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</si>
  <si>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</si>
  <si>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</si>
  <si>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</si>
  <si>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</si>
  <si>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</si>
  <si>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</si>
  <si>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</si>
  <si>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</si>
  <si>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</si>
  <si>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</si>
  <si>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</si>
  <si>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</si>
  <si>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</si>
  <si>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</si>
  <si>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</si>
  <si>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</si>
  <si>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</si>
  <si>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</si>
  <si>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</si>
  <si>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</si>
  <si>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</si>
  <si>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</si>
  <si>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</si>
  <si>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</si>
  <si>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</si>
  <si>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</si>
  <si>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</si>
  <si>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</si>
  <si>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</si>
  <si>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</si>
  <si>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</si>
  <si>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</si>
  <si>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</si>
  <si>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</si>
  <si>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</si>
  <si>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</si>
  <si>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</si>
  <si>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</si>
  <si>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</si>
  <si>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</si>
  <si>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</si>
  <si>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</si>
  <si>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</si>
  <si>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</si>
  <si>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</si>
  <si>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</si>
  <si>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</si>
  <si>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</si>
  <si>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</si>
  <si>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</si>
  <si>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</si>
  <si>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</si>
  <si>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</si>
  <si>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</si>
  <si>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</si>
  <si>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</si>
  <si>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</si>
  <si>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</si>
  <si>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</si>
  <si>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</si>
  <si>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</si>
  <si>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</si>
  <si>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</si>
  <si>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</si>
  <si>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</si>
  <si>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</si>
  <si>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</si>
  <si>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</si>
  <si>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</si>
  <si>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</si>
  <si>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</si>
  <si>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</si>
  <si>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</si>
  <si>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</si>
  <si>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</si>
  <si>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</si>
  <si>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</si>
  <si>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</si>
  <si>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</si>
  <si>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</si>
  <si>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</si>
  <si>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</si>
  <si>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</si>
  <si>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</si>
  <si>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</si>
  <si>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</si>
  <si>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</si>
  <si>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</si>
  <si>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</si>
  <si>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</si>
  <si>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</si>
  <si>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</si>
  <si>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</si>
  <si>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</si>
  <si>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</si>
  <si>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</si>
  <si>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</si>
  <si>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</si>
  <si>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</si>
  <si>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</si>
  <si>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</si>
  <si>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</si>
  <si>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</si>
  <si>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</si>
  <si>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</si>
  <si>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</si>
  <si>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</si>
  <si>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</si>
  <si>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</si>
  <si>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</si>
  <si>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</si>
  <si>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</si>
  <si>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</si>
  <si>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</si>
  <si>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</si>
  <si>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</si>
  <si>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</si>
  <si>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</si>
  <si>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</si>
  <si>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</si>
  <si>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</si>
  <si>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</si>
  <si>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</si>
  <si>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</si>
  <si>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</si>
  <si>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</si>
  <si>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</si>
  <si>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</si>
  <si>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</si>
  <si>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</si>
  <si>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</si>
  <si>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</si>
  <si>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</si>
  <si>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</si>
  <si>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</si>
  <si>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</si>
  <si>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</si>
  <si>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</si>
  <si>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</si>
  <si>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</si>
  <si>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</si>
  <si>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</si>
  <si>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</si>
  <si>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</si>
  <si>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</si>
  <si>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</si>
  <si>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</si>
  <si>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</si>
  <si>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</si>
  <si>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</si>
  <si>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</si>
  <si>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</si>
  <si>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</si>
  <si>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</si>
  <si>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</si>
  <si>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</si>
  <si>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</si>
  <si>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</si>
  <si>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</si>
  <si>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</si>
  <si>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</si>
  <si>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</si>
  <si>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</si>
  <si>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</si>
  <si>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</si>
  <si>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</si>
  <si>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</si>
  <si>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</si>
  <si>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</si>
  <si>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</si>
  <si>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</si>
  <si>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</si>
  <si>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</si>
  <si>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</si>
  <si>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</si>
  <si>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</si>
  <si>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</si>
  <si>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</si>
  <si>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</si>
  <si>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</si>
  <si>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</si>
  <si>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</si>
  <si>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</si>
  <si>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</si>
  <si>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</si>
  <si>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</si>
  <si>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</si>
  <si>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</si>
  <si>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</si>
  <si>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</si>
  <si>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</si>
  <si>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</si>
  <si>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</si>
  <si>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</si>
  <si>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</si>
  <si>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</si>
  <si>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</si>
  <si>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</si>
  <si>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</si>
  <si>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</si>
  <si>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</si>
  <si>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</si>
  <si>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</si>
  <si>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</si>
  <si>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</si>
  <si>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</si>
  <si>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</si>
  <si>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</si>
  <si>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</si>
  <si>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</si>
  <si>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</si>
  <si>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</si>
  <si>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</si>
  <si>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</si>
  <si>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</si>
  <si>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</si>
  <si>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</si>
  <si>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</si>
  <si>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</si>
  <si>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</si>
  <si>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</si>
  <si>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</si>
  <si>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</si>
  <si>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</si>
  <si>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</si>
  <si>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</si>
  <si>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</si>
  <si>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</si>
  <si>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</si>
  <si>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</si>
  <si>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</si>
  <si>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</si>
  <si>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</si>
  <si>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</si>
  <si>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</si>
  <si>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</si>
  <si>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</si>
  <si>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</si>
  <si>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</si>
  <si>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</si>
  <si>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</si>
  <si>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</si>
  <si>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</si>
  <si>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</si>
  <si>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</si>
  <si>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</si>
  <si>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</si>
  <si>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</si>
  <si>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</si>
  <si>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</si>
  <si>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</si>
  <si>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</si>
  <si>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</si>
  <si>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</si>
  <si>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</si>
  <si>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</si>
  <si>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</si>
  <si>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</si>
  <si>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</si>
  <si>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</si>
  <si>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</si>
  <si>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</si>
  <si>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</si>
  <si>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</si>
  <si>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</si>
  <si>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</si>
  <si>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</si>
  <si>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</si>
  <si>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</si>
  <si>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</si>
  <si>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</si>
  <si>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</si>
  <si>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</si>
  <si>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</si>
  <si>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</si>
  <si>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</si>
  <si>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</si>
  <si>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</si>
  <si>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</si>
  <si>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</si>
  <si>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</si>
  <si>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</si>
  <si>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</si>
  <si>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</si>
  <si>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</si>
  <si>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</si>
  <si>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</si>
  <si>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</si>
  <si>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</si>
  <si>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</si>
  <si>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</si>
  <si>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</si>
  <si>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</si>
  <si>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</si>
  <si>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</si>
  <si>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</si>
  <si>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</si>
  <si>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</si>
  <si>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</si>
  <si>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</si>
  <si>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</si>
  <si>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</si>
  <si>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</si>
  <si>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</si>
  <si>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</si>
  <si>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</si>
  <si>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</si>
  <si>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</si>
  <si>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</si>
  <si>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</si>
  <si>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</si>
  <si>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</si>
  <si>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</si>
  <si>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</si>
  <si>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</si>
  <si>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</si>
  <si>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</si>
  <si>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</si>
  <si>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</si>
  <si>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</si>
  <si>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</si>
  <si>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</si>
  <si>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</si>
  <si>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</si>
  <si>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</si>
  <si>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</si>
  <si>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</si>
  <si>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</si>
  <si>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</si>
  <si>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</si>
  <si>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</si>
  <si>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</si>
  <si>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</si>
  <si>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</si>
  <si>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</si>
  <si>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</si>
  <si>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</si>
  <si>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</si>
  <si>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</si>
  <si>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</si>
  <si>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</si>
  <si>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</si>
  <si>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</si>
  <si>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</si>
  <si>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</si>
  <si>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</si>
  <si>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</si>
  <si>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</si>
  <si>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</si>
  <si>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</si>
  <si>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</si>
  <si>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</si>
  <si>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</si>
  <si>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</si>
  <si>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</si>
  <si>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</si>
  <si>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</si>
  <si>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</si>
  <si>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</si>
  <si>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</si>
  <si>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</si>
  <si>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</si>
  <si>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</si>
  <si>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</si>
  <si>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</si>
  <si>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</si>
  <si>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</si>
  <si>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</si>
  <si>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</si>
  <si>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</si>
  <si>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</si>
  <si>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</si>
  <si>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</si>
  <si>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</si>
  <si>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</si>
  <si>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</si>
  <si>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</si>
  <si>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</si>
  <si>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</si>
  <si>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</si>
  <si>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</si>
  <si>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</si>
  <si>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</si>
  <si>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</si>
  <si>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</si>
  <si>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</si>
  <si>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</si>
  <si>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</si>
  <si>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</si>
  <si>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</si>
  <si>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</si>
  <si>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</si>
  <si>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</si>
  <si>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</si>
  <si>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</si>
  <si>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</si>
  <si>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</si>
  <si>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</si>
  <si>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</si>
  <si>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</si>
  <si>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</si>
  <si>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</si>
  <si>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</si>
  <si>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</si>
  <si>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</si>
  <si>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</si>
  <si>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</si>
  <si>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</si>
  <si>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</si>
  <si>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</si>
  <si>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</si>
  <si>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</si>
  <si>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</si>
  <si>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</si>
  <si>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</si>
  <si>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</si>
  <si>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</si>
  <si>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</si>
  <si>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</si>
  <si>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</si>
  <si>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</si>
  <si>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</si>
  <si>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</si>
  <si>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</si>
  <si>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</si>
  <si>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</si>
  <si>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</si>
  <si>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</si>
  <si>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</si>
  <si>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</si>
  <si>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</si>
  <si>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</si>
  <si>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</si>
  <si>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</si>
  <si>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</si>
  <si>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</si>
  <si>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</si>
  <si>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</si>
  <si>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</si>
  <si>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</si>
  <si>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</si>
  <si>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</si>
  <si>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</si>
  <si>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</si>
  <si>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</si>
  <si>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</si>
  <si>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</si>
  <si>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</si>
  <si>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</si>
  <si>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</si>
  <si>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</si>
  <si>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</si>
  <si>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</si>
  <si>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</si>
  <si>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</si>
  <si>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</si>
  <si>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</si>
  <si>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</si>
  <si>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</si>
  <si>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</si>
  <si>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</si>
  <si>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</si>
  <si>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</si>
  <si>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</si>
  <si>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</si>
  <si>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</si>
  <si>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</si>
  <si>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</si>
  <si>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</si>
  <si>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</si>
  <si>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</si>
  <si>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</si>
  <si>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</si>
  <si>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</si>
  <si>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</si>
  <si>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</si>
  <si>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</si>
  <si>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</si>
  <si>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</si>
  <si>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</si>
  <si>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</si>
  <si>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</si>
  <si>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</si>
  <si>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</si>
  <si>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</si>
  <si>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</si>
  <si>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</si>
  <si>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</si>
  <si>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</si>
  <si>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</si>
  <si>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</si>
  <si>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</si>
  <si>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</si>
  <si>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</si>
  <si>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</si>
  <si>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</si>
  <si>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</si>
  <si>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</si>
  <si>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</si>
  <si>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</si>
  <si>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</si>
  <si>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</si>
  <si>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</si>
  <si>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</si>
  <si>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</si>
  <si>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</si>
  <si>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</si>
  <si>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</si>
  <si>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</si>
  <si>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</si>
  <si>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</si>
  <si>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</si>
  <si>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</si>
  <si>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</si>
  <si>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</si>
  <si>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</si>
  <si>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</si>
  <si>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</si>
  <si>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</si>
  <si>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</si>
  <si>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</si>
  <si>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</si>
  <si>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</si>
  <si>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</si>
  <si>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</si>
  <si>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</si>
  <si>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</si>
  <si>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</si>
  <si>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</si>
  <si>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</si>
  <si>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</si>
  <si>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</si>
  <si>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</si>
  <si>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</si>
  <si>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</si>
  <si>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</si>
  <si>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</si>
  <si>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</si>
  <si>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</si>
  <si>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</si>
  <si>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</si>
  <si>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</si>
  <si>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</si>
  <si>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</si>
  <si>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</si>
  <si>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</si>
  <si>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</si>
  <si>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</si>
  <si>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</si>
  <si>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</si>
  <si>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</si>
  <si>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</si>
  <si>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</si>
  <si>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</si>
  <si>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</si>
  <si>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</si>
  <si>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</si>
  <si>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</si>
  <si>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</si>
  <si>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</si>
  <si>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</si>
  <si>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</si>
  <si>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</si>
  <si>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</si>
  <si>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</si>
  <si>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</si>
  <si>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</si>
  <si>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</si>
  <si>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</si>
  <si>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</si>
  <si>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</si>
  <si>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</si>
  <si>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</si>
  <si>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</si>
  <si>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</si>
  <si>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</si>
  <si>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</si>
  <si>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</si>
  <si>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</si>
  <si>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</si>
  <si>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</si>
  <si>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</si>
  <si>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</si>
  <si>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</si>
  <si>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</si>
  <si>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</si>
  <si>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</si>
  <si>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</si>
  <si>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</si>
  <si>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</si>
  <si>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</si>
  <si>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</si>
  <si>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</si>
  <si>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</si>
  <si>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</si>
  <si>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</si>
  <si>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</si>
  <si>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</si>
  <si>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</si>
  <si>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</si>
  <si>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</si>
  <si>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</si>
  <si>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</si>
  <si>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</si>
  <si>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</si>
  <si>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</si>
  <si>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</si>
  <si>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</si>
  <si>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</si>
  <si>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</si>
  <si>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</si>
  <si>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</si>
  <si>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</si>
  <si>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</si>
  <si>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</si>
  <si>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</si>
  <si>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</si>
  <si>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</si>
  <si>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</si>
  <si>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</si>
  <si>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</si>
  <si>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</si>
  <si>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</si>
  <si>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</si>
  <si>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</si>
  <si>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</si>
  <si>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</si>
  <si>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</si>
  <si>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</si>
  <si>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</si>
  <si>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</si>
  <si>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</si>
  <si>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</si>
  <si>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</si>
  <si>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</si>
  <si>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</si>
  <si>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</si>
  <si>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</si>
  <si>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</si>
  <si>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</si>
  <si>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</si>
  <si>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</si>
  <si>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</si>
  <si>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</si>
  <si>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</si>
  <si>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</si>
  <si>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</si>
  <si>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</si>
  <si>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</si>
  <si>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</si>
  <si>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</si>
  <si>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</si>
  <si>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</si>
  <si>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</si>
  <si>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</si>
  <si>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</si>
  <si>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</si>
  <si>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</si>
  <si>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</si>
  <si>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</si>
  <si>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</si>
  <si>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</si>
  <si>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</si>
  <si>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</si>
  <si>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</si>
  <si>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</si>
  <si>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</si>
  <si>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</si>
  <si>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</si>
  <si>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</si>
  <si>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</si>
  <si>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</si>
  <si>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</si>
  <si>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</si>
  <si>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</si>
  <si>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</si>
  <si>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</si>
  <si>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</si>
  <si>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</si>
  <si>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</si>
  <si>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</si>
  <si>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</si>
  <si>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</si>
  <si>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</si>
  <si>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</si>
  <si>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</si>
  <si>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</si>
  <si>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</si>
  <si>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</si>
  <si>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</si>
  <si>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</si>
  <si>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</si>
  <si>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</si>
  <si>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</si>
  <si>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</si>
  <si>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</si>
  <si>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</si>
  <si>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</si>
  <si>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</si>
  <si>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</si>
  <si>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</si>
  <si>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</si>
  <si>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</si>
  <si>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</si>
  <si>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</si>
  <si>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</si>
  <si>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</si>
  <si>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</si>
  <si>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</si>
  <si>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</si>
  <si>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</si>
  <si>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</si>
  <si>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</si>
  <si>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</si>
  <si>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</si>
  <si>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</si>
  <si>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</si>
  <si>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</si>
  <si>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</si>
  <si>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</si>
  <si>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</si>
  <si>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</si>
  <si>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</si>
  <si>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</si>
  <si>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</si>
  <si>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</si>
  <si>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</si>
  <si>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</si>
  <si>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</si>
  <si>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</si>
  <si>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</si>
  <si>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</si>
  <si>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</si>
  <si>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</si>
  <si>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</si>
  <si>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</si>
  <si>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</si>
  <si>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</si>
  <si>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</si>
  <si>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</si>
  <si>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</si>
  <si>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</si>
  <si>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</si>
  <si>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</si>
  <si>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</si>
  <si>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</si>
  <si>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</si>
  <si>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</si>
  <si>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</si>
  <si>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</si>
  <si>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</si>
  <si>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</si>
  <si>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</si>
  <si>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</si>
  <si>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</si>
  <si>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</si>
  <si>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</si>
  <si>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</si>
  <si>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</si>
  <si>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</si>
  <si>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</si>
  <si>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</si>
  <si>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</si>
  <si>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</si>
  <si>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</si>
  <si>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</si>
  <si>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</si>
  <si>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</si>
  <si>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</si>
  <si>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</si>
  <si>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</si>
  <si>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</si>
  <si>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</si>
  <si>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</si>
  <si>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</si>
  <si>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</si>
  <si>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</si>
  <si>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</si>
  <si>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</si>
  <si>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</si>
  <si>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</si>
  <si>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</si>
  <si>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</si>
  <si>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</si>
  <si>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</si>
  <si>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</si>
  <si>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</si>
  <si>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</si>
  <si>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</si>
  <si>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</si>
  <si>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</si>
  <si>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</si>
  <si>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</si>
  <si>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</si>
  <si>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</si>
  <si>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</si>
  <si>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</si>
  <si>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</si>
  <si>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</si>
  <si>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</si>
  <si>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</si>
  <si>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</si>
  <si>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</si>
  <si>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</si>
  <si>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</si>
  <si>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</si>
  <si>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</si>
  <si>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</si>
  <si>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</si>
  <si>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</si>
  <si>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</si>
  <si>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</si>
  <si>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</si>
  <si>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</si>
  <si>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</si>
  <si>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</si>
  <si>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</si>
  <si>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</si>
  <si>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</si>
  <si>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</si>
  <si>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</si>
  <si>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</si>
  <si>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</si>
  <si>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</si>
  <si>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</si>
  <si>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</si>
  <si>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</si>
  <si>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</si>
  <si>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</si>
  <si>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</si>
  <si>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</si>
  <si>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</si>
  <si>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</si>
  <si>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</si>
  <si>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</si>
  <si>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</si>
  <si>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</si>
  <si>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</si>
  <si>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</si>
  <si>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</si>
  <si>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</si>
  <si>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</si>
  <si>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</si>
  <si>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</si>
  <si>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</si>
  <si>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</si>
  <si>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</si>
  <si>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</si>
  <si>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</si>
  <si>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</si>
  <si>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</si>
  <si>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</si>
  <si>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</si>
  <si>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</si>
  <si>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</si>
  <si>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</si>
  <si>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</si>
  <si>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</si>
  <si>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</si>
  <si>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</si>
  <si>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</si>
  <si>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</si>
  <si>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</si>
  <si>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</si>
  <si>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</si>
  <si>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</si>
  <si>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</si>
  <si>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</si>
  <si>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</si>
  <si>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</si>
  <si>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</si>
  <si>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</si>
  <si>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</si>
  <si>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</si>
  <si>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</si>
  <si>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</si>
  <si>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</si>
  <si>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</si>
  <si>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</si>
  <si>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</si>
  <si>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</si>
  <si>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</si>
  <si>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</si>
  <si>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</si>
  <si>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</si>
  <si>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</si>
  <si>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</si>
  <si>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</si>
  <si>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</si>
  <si>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</si>
  <si>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</si>
  <si>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</si>
  <si>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</si>
  <si>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</si>
  <si>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</si>
  <si>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</si>
  <si>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</si>
  <si>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</si>
  <si>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</si>
  <si>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</si>
  <si>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</si>
  <si>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</si>
  <si>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</si>
  <si>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</si>
  <si>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</si>
  <si>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</si>
  <si>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</si>
  <si>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</si>
  <si>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</si>
  <si>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</si>
  <si>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</si>
  <si>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</si>
  <si>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</si>
  <si>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</si>
  <si>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</si>
  <si>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</si>
  <si>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</si>
  <si>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</si>
  <si>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</si>
  <si>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</si>
  <si>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</si>
  <si>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</si>
  <si>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</si>
  <si>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</si>
  <si>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</si>
  <si>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</si>
  <si>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</si>
  <si>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</si>
  <si>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</si>
  <si>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</si>
  <si>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</si>
  <si>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</si>
  <si>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</si>
  <si>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</si>
  <si>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</si>
  <si>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</si>
  <si>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</si>
  <si>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</si>
  <si>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</si>
  <si>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</si>
  <si>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</si>
  <si>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</si>
  <si>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</si>
  <si>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</si>
  <si>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</si>
  <si>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</si>
  <si>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</si>
  <si>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</si>
  <si>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</si>
  <si>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</si>
  <si>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</si>
  <si>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</si>
  <si>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</si>
  <si>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</si>
  <si>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</si>
  <si>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</si>
  <si>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</si>
  <si>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</si>
  <si>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</si>
  <si>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</si>
  <si>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</si>
  <si>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</si>
  <si>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</si>
  <si>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</si>
  <si>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</si>
  <si>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</si>
  <si>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</si>
  <si>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</si>
  <si>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</si>
  <si>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</si>
  <si>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</si>
  <si>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</si>
  <si>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</si>
  <si>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</si>
  <si>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</si>
  <si>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</si>
  <si>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</si>
  <si>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</si>
  <si>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</si>
  <si>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</si>
  <si>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</si>
  <si>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</si>
  <si>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</si>
  <si>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</si>
  <si>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</si>
  <si>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</si>
  <si>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</si>
  <si>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</si>
  <si>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</si>
  <si>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</si>
  <si>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</si>
  <si>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</si>
  <si>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</si>
  <si>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</si>
  <si>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</si>
  <si>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</si>
  <si>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</si>
  <si>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</si>
  <si>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</si>
  <si>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</si>
  <si>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</si>
  <si>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</si>
  <si>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</si>
  <si>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</si>
  <si>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</si>
  <si>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</si>
  <si>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</si>
  <si>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</si>
  <si>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</si>
  <si>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</si>
  <si>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</si>
  <si>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</si>
  <si>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</si>
  <si>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</si>
  <si>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</si>
  <si>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</si>
  <si>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</si>
  <si>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</si>
  <si>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</si>
  <si>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</si>
  <si>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</si>
  <si>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</si>
  <si>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</si>
  <si>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</si>
  <si>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</si>
  <si>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</si>
  <si>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</si>
  <si>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</si>
  <si>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</si>
  <si>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</si>
  <si>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</si>
  <si>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</si>
  <si>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</si>
  <si>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</si>
  <si>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</si>
  <si>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</si>
  <si>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</si>
  <si>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</si>
  <si>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</si>
  <si>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</si>
  <si>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</si>
  <si>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</si>
  <si>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</si>
  <si>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</si>
  <si>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</si>
  <si>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</si>
  <si>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</si>
  <si>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</si>
  <si>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</si>
  <si>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</si>
  <si>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</si>
  <si>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</si>
  <si>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</si>
  <si>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</si>
  <si>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</si>
  <si>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</si>
  <si>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</si>
  <si>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</si>
  <si>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</si>
  <si>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</si>
  <si>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</si>
  <si>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</si>
  <si>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</si>
  <si>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</si>
  <si>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</si>
  <si>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</si>
  <si>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</si>
  <si>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</si>
  <si>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</si>
  <si>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</si>
  <si>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</si>
  <si>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</si>
  <si>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</si>
  <si>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</si>
  <si>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</si>
  <si>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</si>
  <si>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</si>
  <si>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</si>
  <si>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</si>
  <si>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</si>
  <si>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</si>
  <si>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</si>
  <si>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</si>
  <si>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</si>
  <si>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</si>
  <si>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</si>
  <si>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</si>
  <si>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</si>
  <si>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</si>
  <si>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</si>
  <si>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</si>
  <si>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</si>
  <si>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</si>
  <si>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</si>
  <si>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</si>
  <si>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</si>
  <si>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</si>
  <si>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</si>
  <si>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</si>
  <si>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</si>
  <si>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</si>
  <si>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</si>
  <si>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</si>
  <si>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</si>
  <si>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</si>
  <si>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</si>
  <si>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</si>
  <si>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</si>
  <si>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</si>
  <si>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</si>
  <si>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</si>
  <si>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</si>
  <si>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</si>
  <si>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</si>
  <si>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</si>
  <si>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</si>
  <si>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</si>
  <si>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</si>
  <si>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</si>
  <si>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</si>
  <si>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</si>
  <si>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</si>
  <si>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</si>
  <si>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</si>
  <si>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</si>
  <si>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</si>
  <si>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</si>
  <si>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</si>
  <si>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</si>
  <si>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</si>
  <si>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</si>
  <si>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</si>
  <si>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</si>
  <si>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</si>
  <si>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</si>
  <si>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</si>
  <si>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</si>
  <si>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</si>
  <si>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</si>
  <si>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</si>
  <si>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</si>
  <si>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</si>
  <si>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</si>
  <si>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</si>
  <si>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</si>
  <si>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</si>
  <si>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</si>
  <si>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</si>
  <si>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</si>
  <si>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</si>
  <si>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</si>
  <si>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</si>
  <si>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</si>
  <si>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</si>
  <si>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</si>
  <si>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</si>
  <si>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</si>
  <si>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</si>
  <si>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</si>
  <si>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</si>
  <si>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</si>
  <si>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</si>
  <si>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</si>
  <si>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</si>
  <si>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</si>
  <si>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</si>
  <si>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</si>
  <si>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</si>
  <si>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</si>
  <si>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</si>
  <si>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</si>
  <si>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</si>
  <si>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</si>
  <si>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</si>
  <si>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</si>
  <si>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</si>
  <si>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</si>
  <si>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</si>
  <si>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</si>
  <si>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</si>
  <si>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</si>
  <si>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</si>
  <si>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</si>
  <si>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</si>
  <si>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</si>
  <si>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</si>
  <si>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</si>
  <si>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</si>
  <si>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</si>
  <si>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</si>
  <si>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</si>
  <si>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</si>
  <si>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</si>
  <si>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</si>
  <si>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</si>
  <si>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</si>
  <si>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</si>
  <si>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</si>
  <si>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</si>
  <si>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</si>
  <si>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</si>
  <si>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</si>
  <si>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</si>
  <si>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</si>
  <si>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</si>
  <si>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</si>
  <si>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</si>
  <si>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</si>
  <si>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</si>
  <si>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</si>
  <si>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</si>
  <si>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</si>
  <si>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</si>
  <si>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</si>
  <si>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</si>
  <si>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</si>
  <si>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</si>
  <si>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</si>
  <si>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</si>
  <si>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</si>
  <si>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</si>
  <si>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</si>
  <si>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</si>
  <si>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</si>
  <si>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</si>
  <si>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</si>
  <si>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</si>
  <si>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</si>
  <si>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</si>
  <si>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</si>
  <si>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</si>
  <si>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</si>
  <si>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</si>
  <si>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</si>
  <si>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</si>
  <si>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</si>
  <si>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</si>
  <si>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</si>
  <si>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</si>
  <si>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</si>
  <si>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</si>
  <si>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</si>
  <si>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</si>
  <si>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</si>
  <si>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</si>
  <si>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</si>
  <si>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</si>
  <si>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</si>
  <si>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</si>
  <si>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</si>
  <si>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</si>
  <si>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</si>
  <si>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</si>
  <si>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</si>
  <si>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</si>
  <si>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</si>
  <si>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</si>
  <si>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</si>
  <si>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</si>
  <si>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</si>
  <si>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</si>
  <si>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</si>
  <si>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</si>
  <si>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</si>
  <si>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</si>
  <si>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</si>
  <si>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</si>
  <si>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</si>
  <si>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</si>
  <si>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</si>
  <si>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</si>
  <si>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</si>
  <si>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</si>
  <si>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</si>
  <si>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</si>
  <si>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</si>
  <si>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</si>
  <si>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</si>
  <si>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</si>
  <si>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</si>
  <si>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</si>
  <si>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</si>
  <si>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</si>
  <si>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</si>
  <si>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</si>
  <si>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</si>
  <si>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</si>
  <si>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</si>
  <si>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</si>
  <si>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</si>
  <si>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</si>
  <si>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</si>
  <si>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</si>
  <si>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</si>
  <si>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</si>
  <si>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</si>
  <si>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</si>
  <si>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</si>
  <si>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</si>
  <si>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</si>
  <si>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</si>
  <si>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</si>
  <si>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</si>
  <si>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</si>
  <si>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</si>
  <si>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</si>
  <si>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</si>
  <si>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</si>
  <si>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</si>
  <si>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</si>
  <si>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</si>
  <si>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</si>
  <si>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</si>
  <si>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</si>
  <si>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</si>
  <si>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</si>
  <si>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</si>
  <si>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</si>
  <si>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</si>
  <si>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</si>
  <si>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</si>
  <si>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</si>
  <si>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</si>
  <si>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</si>
  <si>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</si>
  <si>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</si>
  <si>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</si>
  <si>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</si>
  <si>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</si>
  <si>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</si>
  <si>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</si>
  <si>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</si>
  <si>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</si>
  <si>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</si>
  <si>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</si>
  <si>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</si>
  <si>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</si>
  <si>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</si>
  <si>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</si>
  <si>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</si>
  <si>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</si>
  <si>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</si>
  <si>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</si>
  <si>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</si>
  <si>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</si>
  <si>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</si>
  <si>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</si>
  <si>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</si>
  <si>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</si>
  <si>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</si>
  <si>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</si>
  <si>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</si>
  <si>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</si>
  <si>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</si>
  <si>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</si>
  <si>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</si>
  <si>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</si>
  <si>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</si>
  <si>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</si>
  <si>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</si>
  <si>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</si>
  <si>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</si>
  <si>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</si>
  <si>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</si>
  <si>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</si>
  <si>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</si>
  <si>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</si>
  <si>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</si>
  <si>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</si>
  <si>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</si>
  <si>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</si>
  <si>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</si>
  <si>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</si>
  <si>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</si>
  <si>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</si>
  <si>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</si>
  <si>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</si>
  <si>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</si>
  <si>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</si>
  <si>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企业</t>
  </si>
  <si>
    <t>天津市</t>
  </si>
  <si>
    <t>天津市</t>
    <phoneticPr fontId="6" type="noConversion"/>
  </si>
  <si>
    <t>工业项目</t>
  </si>
  <si>
    <t>无</t>
  </si>
  <si>
    <t>否</t>
  </si>
  <si>
    <t>现房</t>
  </si>
  <si>
    <t>是</t>
  </si>
  <si>
    <t>地上</t>
  </si>
  <si>
    <t>工业-仓储</t>
  </si>
  <si>
    <t>工业-仓储</t>
    <phoneticPr fontId="7" type="noConversion"/>
  </si>
  <si>
    <t>酒店</t>
    <phoneticPr fontId="247" type="noConversion"/>
  </si>
  <si>
    <t>商业</t>
    <phoneticPr fontId="247" type="noConversion"/>
  </si>
  <si>
    <t>办公</t>
    <phoneticPr fontId="247" type="noConversion"/>
  </si>
  <si>
    <t>厂房</t>
    <phoneticPr fontId="247" type="noConversion"/>
  </si>
  <si>
    <r>
      <rPr>
        <sz val="11"/>
        <color theme="1"/>
        <rFont val="宋体"/>
        <family val="2"/>
        <charset val="134"/>
      </rPr>
      <t>项目类型</t>
    </r>
    <phoneticPr fontId="247" type="noConversion"/>
  </si>
  <si>
    <r>
      <rPr>
        <sz val="11"/>
        <color theme="1"/>
        <rFont val="宋体"/>
        <family val="2"/>
        <charset val="134"/>
      </rPr>
      <t>五星级酒店</t>
    </r>
    <phoneticPr fontId="247" type="noConversion"/>
  </si>
  <si>
    <r>
      <rPr>
        <sz val="11"/>
        <color theme="1"/>
        <rFont val="宋体"/>
        <family val="2"/>
        <charset val="134"/>
      </rPr>
      <t>四星级酒店</t>
    </r>
    <phoneticPr fontId="247" type="noConversion"/>
  </si>
  <si>
    <r>
      <rPr>
        <sz val="11"/>
        <color theme="1"/>
        <rFont val="宋体"/>
        <family val="2"/>
        <charset val="134"/>
      </rPr>
      <t>三星级酒店</t>
    </r>
    <phoneticPr fontId="247" type="noConversion"/>
  </si>
  <si>
    <r>
      <rPr>
        <sz val="11"/>
        <color theme="1"/>
        <rFont val="宋体"/>
        <family val="2"/>
        <charset val="134"/>
      </rPr>
      <t>经济型酒店</t>
    </r>
    <phoneticPr fontId="247" type="noConversion"/>
  </si>
  <si>
    <r>
      <rPr>
        <sz val="11"/>
        <color theme="1"/>
        <rFont val="宋体"/>
        <family val="2"/>
        <charset val="134"/>
      </rPr>
      <t>酒店式公寓</t>
    </r>
    <phoneticPr fontId="247" type="noConversion"/>
  </si>
  <si>
    <t>全装修百货大楼</t>
    <phoneticPr fontId="247" type="noConversion"/>
  </si>
  <si>
    <t>购物中心</t>
    <phoneticPr fontId="247" type="noConversion"/>
  </si>
  <si>
    <t>大型商超</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</si>
  <si>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</si>
  <si>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</si>
  <si>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</si>
  <si>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</si>
  <si>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</si>
  <si>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</si>
  <si>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</si>
  <si>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非生产性厂房</t>
    <phoneticPr fontId="247" type="noConversion"/>
  </si>
  <si>
    <t>北京高层住宅12#</t>
    <phoneticPr fontId="247" type="noConversion"/>
  </si>
  <si>
    <r>
      <rPr>
        <sz val="11"/>
        <color theme="1"/>
        <rFont val="宋体"/>
        <family val="3"/>
        <charset val="134"/>
      </rPr>
      <t>北京中高层</t>
    </r>
    <r>
      <rPr>
        <sz val="11"/>
        <color theme="1"/>
        <rFont val="Arial"/>
        <family val="2"/>
      </rPr>
      <t>35#</t>
    </r>
    <phoneticPr fontId="247" type="noConversion"/>
  </si>
  <si>
    <r>
      <rPr>
        <sz val="11"/>
        <color theme="1"/>
        <rFont val="宋体"/>
        <family val="2"/>
        <charset val="134"/>
      </rPr>
      <t>建筑类型</t>
    </r>
    <phoneticPr fontId="247" type="noConversion"/>
  </si>
  <si>
    <t>超高层</t>
    <phoneticPr fontId="247" type="noConversion"/>
  </si>
  <si>
    <t>高层</t>
    <phoneticPr fontId="247" type="noConversion"/>
  </si>
  <si>
    <t>多层</t>
    <phoneticPr fontId="247" type="noConversion"/>
  </si>
  <si>
    <t>低层</t>
    <phoneticPr fontId="247" type="noConversion"/>
  </si>
  <si>
    <t>超高</t>
    <phoneticPr fontId="247" type="noConversion"/>
  </si>
  <si>
    <t>单层</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</si>
  <si>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</si>
  <si>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t>中高层</t>
    <phoneticPr fontId="247" type="noConversion"/>
  </si>
  <si>
    <r>
      <rPr>
        <i/>
        <sz val="9"/>
        <color theme="1"/>
        <rFont val="宋体"/>
        <family val="3"/>
        <charset val="134"/>
      </rPr>
      <t>地上</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</si>
  <si>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</si>
  <si>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</si>
  <si>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</si>
  <si>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</si>
  <si>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</si>
  <si>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t>-</t>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</si>
  <si>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</si>
  <si>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</si>
  <si>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</si>
  <si>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总</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</si>
  <si>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</si>
  <si>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</si>
  <si>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t>-</t>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</si>
  <si>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</si>
  <si>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</si>
  <si>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</si>
  <si>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</si>
  <si>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</si>
  <si>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</si>
  <si>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钢混</t>
  </si>
  <si>
    <t>钢混</t>
    <phoneticPr fontId="3" type="noConversion"/>
  </si>
  <si>
    <t>钢</t>
    <phoneticPr fontId="3" type="noConversion"/>
  </si>
  <si>
    <t>建筑面积</t>
  </si>
  <si>
    <t>建筑面积</t>
    <phoneticPr fontId="3" type="noConversion"/>
  </si>
  <si>
    <t>结构</t>
    <phoneticPr fontId="3" type="noConversion"/>
  </si>
  <si>
    <t>成新度</t>
  </si>
  <si>
    <t>成新</t>
    <phoneticPr fontId="3" type="noConversion"/>
  </si>
  <si>
    <t>非生产用房</t>
  </si>
  <si>
    <t>一期</t>
    <phoneticPr fontId="134" type="noConversion"/>
  </si>
  <si>
    <t>二期</t>
    <phoneticPr fontId="134" type="noConversion"/>
  </si>
  <si>
    <t>地上计容建面</t>
    <phoneticPr fontId="134" type="noConversion"/>
  </si>
  <si>
    <t>地下建面</t>
    <phoneticPr fontId="134" type="noConversion"/>
  </si>
  <si>
    <t>规划总用地面积</t>
    <phoneticPr fontId="134" type="noConversion"/>
  </si>
  <si>
    <t>界内建设用地面积</t>
    <phoneticPr fontId="134" type="noConversion"/>
  </si>
  <si>
    <t>产证土地面积</t>
    <phoneticPr fontId="134" type="noConversion"/>
  </si>
  <si>
    <t>产证建面</t>
    <phoneticPr fontId="134" type="noConversion"/>
  </si>
  <si>
    <t>容积率</t>
  </si>
  <si>
    <t>容积率</t>
    <phoneticPr fontId="134" type="noConversion"/>
  </si>
  <si>
    <t>一期</t>
    <phoneticPr fontId="134" type="noConversion"/>
  </si>
  <si>
    <r>
      <t>5</t>
    </r>
    <r>
      <rPr>
        <sz val="11"/>
        <color theme="1"/>
        <rFont val="宋体"/>
        <family val="3"/>
        <charset val="134"/>
        <scheme val="minor"/>
      </rPr>
      <t>#库房</t>
    </r>
    <phoneticPr fontId="134" type="noConversion"/>
  </si>
  <si>
    <t>1层</t>
    <phoneticPr fontId="134" type="noConversion"/>
  </si>
  <si>
    <t>2层(小局部4层）</t>
    <phoneticPr fontId="134" type="noConversion"/>
  </si>
  <si>
    <t>2层(小局部5层）</t>
    <phoneticPr fontId="134" type="noConversion"/>
  </si>
  <si>
    <t>2层(小局部1层）</t>
    <phoneticPr fontId="134" type="noConversion"/>
  </si>
  <si>
    <t>5层</t>
    <phoneticPr fontId="134" type="noConversion"/>
  </si>
  <si>
    <t>实测长度</t>
    <phoneticPr fontId="134" type="noConversion"/>
  </si>
  <si>
    <t>实测宽度</t>
    <phoneticPr fontId="134" type="noConversion"/>
  </si>
  <si>
    <t>83.49、35</t>
    <phoneticPr fontId="134" type="noConversion"/>
  </si>
  <si>
    <r>
      <t>8</t>
    </r>
    <r>
      <rPr>
        <sz val="11"/>
        <color theme="1"/>
        <rFont val="宋体"/>
        <family val="3"/>
        <charset val="134"/>
        <scheme val="minor"/>
      </rPr>
      <t>3.5、34.99</t>
    </r>
    <phoneticPr fontId="134" type="noConversion"/>
  </si>
  <si>
    <t>外形计算面积</t>
    <phoneticPr fontId="134" type="noConversion"/>
  </si>
  <si>
    <t>合计</t>
    <phoneticPr fontId="134" type="noConversion"/>
  </si>
  <si>
    <t>建安单价</t>
    <phoneticPr fontId="134" type="noConversion"/>
  </si>
  <si>
    <t>总建安</t>
    <phoneticPr fontId="134" type="noConversion"/>
  </si>
  <si>
    <t>收益法</t>
  </si>
  <si>
    <t>日租金</t>
    <phoneticPr fontId="134" type="noConversion"/>
  </si>
  <si>
    <t>押一</t>
  </si>
  <si>
    <t>总价</t>
  </si>
  <si>
    <t>成本法</t>
  </si>
  <si>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</si>
  <si>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</si>
  <si>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</si>
  <si>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</si>
  <si>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地块名称</t>
  </si>
  <si>
    <t>城市</t>
  </si>
  <si>
    <t>区县</t>
  </si>
  <si>
    <t>板块</t>
  </si>
  <si>
    <t>地块编号</t>
  </si>
  <si>
    <t>建设用地面积(㎡)</t>
  </si>
  <si>
    <t>规划建筑面积(㎡)</t>
  </si>
  <si>
    <t>用地性质</t>
  </si>
  <si>
    <t>详细规划</t>
  </si>
  <si>
    <t>建设用地分类</t>
  </si>
  <si>
    <t>出让年限(年)</t>
  </si>
  <si>
    <t>出让方式</t>
  </si>
  <si>
    <t>集中供地</t>
  </si>
  <si>
    <t>成交时间</t>
  </si>
  <si>
    <t>交易状态</t>
  </si>
  <si>
    <t>受让单位</t>
  </si>
  <si>
    <t>成交价(万元)</t>
  </si>
  <si>
    <t>成交土地单价(元/㎡)</t>
  </si>
  <si>
    <t>成交每亩价(万元/亩)</t>
  </si>
  <si>
    <t>成交楼面价(元/㎡)</t>
  </si>
  <si>
    <t>溢价率(%)</t>
  </si>
  <si>
    <t>北辰区天津高端装备制造产业园</t>
  </si>
  <si>
    <t xml:space="preserve"> 北辰区 </t>
  </si>
  <si>
    <t xml:space="preserve"> -- </t>
  </si>
  <si>
    <t>津辰风(挂)G2024-004号</t>
  </si>
  <si>
    <t xml:space="preserve"> 工业用地 </t>
  </si>
  <si>
    <t xml:space="preserve"> 一类工业用地,准入产业类别为电力、热力生产和供应业 </t>
  </si>
  <si>
    <t xml:space="preserve"> M1一类工业用地 </t>
  </si>
  <si>
    <t xml:space="preserve"> 50年 </t>
  </si>
  <si>
    <t xml:space="preserve"> 0.8-2.0 </t>
  </si>
  <si>
    <t xml:space="preserve"> 挂牌 </t>
  </si>
  <si>
    <t xml:space="preserve">-- </t>
  </si>
  <si>
    <t xml:space="preserve"> 已成交 </t>
  </si>
  <si>
    <t xml:space="preserve"> 汇点智能装备(天津)有限公司  </t>
  </si>
  <si>
    <t>北辰区天津高端装备制造产业园兴河路与永进道交口</t>
  </si>
  <si>
    <t>津辰风(挂)G2024-005号</t>
  </si>
  <si>
    <t xml:space="preserve"> 天津北达辰华科技发展有限公司  </t>
  </si>
  <si>
    <t>北辰区西堤头镇津榆公路北侧</t>
  </si>
  <si>
    <t>津辰西(挂)G2024-003号</t>
  </si>
  <si>
    <t xml:space="preserve"> 一类工业用地 </t>
  </si>
  <si>
    <t xml:space="preserve"> 1.1-2.0 </t>
  </si>
  <si>
    <t xml:space="preserve"> 天津市天重江天重工有限公司  </t>
  </si>
  <si>
    <t xml:space="preserve"> 0.8到2 </t>
  </si>
  <si>
    <t xml:space="preserve"> 天津北达辰晖科技发展有限公司  </t>
  </si>
  <si>
    <t>天津京津医药谷起步区</t>
  </si>
  <si>
    <t>津辰谷(挂)G2023-012号</t>
  </si>
  <si>
    <t xml:space="preserve"> 0.8到2.5 </t>
  </si>
  <si>
    <t xml:space="preserve"> 天津启迪药谷富辰开发建设有限公司  </t>
  </si>
  <si>
    <t>北辰区九园公路北侧</t>
  </si>
  <si>
    <t>津辰风(挂)G2023-008号</t>
  </si>
  <si>
    <t xml:space="preserve"> 晶安(天津)汽车零部件有限公司  </t>
  </si>
  <si>
    <t>北辰区汀江路东侧</t>
  </si>
  <si>
    <t>津辰汀(挂)G2023-010号</t>
  </si>
  <si>
    <t xml:space="preserve"> 0.8到1.2 </t>
  </si>
  <si>
    <t xml:space="preserve"> 天津市海洋电器开关有限公司  </t>
  </si>
  <si>
    <t>北辰区陆港一经路与陆港三纬路交口</t>
  </si>
  <si>
    <t>津辰港(挂)G2023-004号</t>
  </si>
  <si>
    <t xml:space="preserve"> 一类物流仓储用地 </t>
  </si>
  <si>
    <t xml:space="preserve"> W1一类物流仓储用地 </t>
  </si>
  <si>
    <t xml:space="preserve"> ≤2.0 </t>
  </si>
  <si>
    <t xml:space="preserve"> 天津中兴环保科技有限公司  </t>
  </si>
  <si>
    <t>津辰风(挂)G2023-005号</t>
  </si>
  <si>
    <t xml:space="preserve"> 0.7-2.0 </t>
  </si>
  <si>
    <t xml:space="preserve"> 天津太合节能科技有限公司  </t>
  </si>
  <si>
    <t>北辰区永宁道与通盛路交口西南侧</t>
  </si>
  <si>
    <t>津辰风(挂)G2023-006号</t>
  </si>
  <si>
    <t xml:space="preserve"> 天津松洋智能科技有限公司  </t>
  </si>
  <si>
    <t>北辰区永进道与兴河路交口</t>
  </si>
  <si>
    <t>津辰风(挂)G2023-001号</t>
  </si>
  <si>
    <t xml:space="preserve"> 美达王(天津)钢材制品有限公司  </t>
  </si>
  <si>
    <t>北辰区永丰道与兴河路交口</t>
  </si>
  <si>
    <t>津辰风(挂)G2023-002号</t>
  </si>
  <si>
    <t xml:space="preserve"> 金辰智荟(天津)装备制造有限公司  </t>
  </si>
  <si>
    <t>北辰区医药医疗器械工业园富源南路和腾兴道交口东北侧</t>
  </si>
  <si>
    <t>津辰示(挂)G2022-008号</t>
  </si>
  <si>
    <t xml:space="preserve"> 津药达仁堂集团股份有限公司  </t>
  </si>
  <si>
    <t>天津市高端装备制造产业园</t>
  </si>
  <si>
    <t>津辰风(挂)G2022-005号</t>
  </si>
  <si>
    <t xml:space="preserve"> 天津垠瑞万辰智能科技有限公司  </t>
  </si>
  <si>
    <t>北辰区辰环路与尚兰路交口东南侧</t>
  </si>
  <si>
    <t>津辰张(挂)G2022-004号</t>
  </si>
  <si>
    <t xml:space="preserve"> 0.8-1.5 </t>
  </si>
  <si>
    <t xml:space="preserve"> 天津市伟星新型建材有限公司  </t>
  </si>
  <si>
    <t>天津市北辰区永进道与通跃路交口</t>
  </si>
  <si>
    <t>津辰风(挂)G2021-007号</t>
  </si>
  <si>
    <t xml:space="preserve"> M工业用地 </t>
  </si>
  <si>
    <t xml:space="preserve"> ≤2 </t>
  </si>
  <si>
    <t xml:space="preserve"> 天津辰西科技有限公司  </t>
  </si>
  <si>
    <t>北辰区科技园区环东片区</t>
  </si>
  <si>
    <t>津辰园(挂)G2021-001号</t>
  </si>
  <si>
    <t xml:space="preserve"> ≤1.5 </t>
  </si>
  <si>
    <t xml:space="preserve"> 中逸安科生物技术股份有限公司  </t>
  </si>
  <si>
    <t>北辰区永进道与山河路交口</t>
  </si>
  <si>
    <t>津辰风(挂)G2021-005号</t>
  </si>
  <si>
    <t xml:space="preserve"> SMC(天津)制造有限公司  </t>
  </si>
  <si>
    <t>北辰区西堤头工业园区内</t>
  </si>
  <si>
    <t>津辰西(挂)G2020-003号</t>
  </si>
  <si>
    <t xml:space="preserve"> 天津华北江铜智慧产业园有限公司  </t>
  </si>
  <si>
    <t>天津市医药医疗器械工业园</t>
  </si>
  <si>
    <t>津辰示(挂)G2021-006号</t>
  </si>
  <si>
    <t xml:space="preserve"> 天津雅迪实业有限公司  </t>
  </si>
  <si>
    <t>津辰示(挂)G2021-002号</t>
  </si>
  <si>
    <t>天津市天津高端装备制造产业园</t>
  </si>
  <si>
    <t>津辰风(挂)G2020-013号</t>
  </si>
  <si>
    <t xml:space="preserve"> 天津清源华越科技有限公司  </t>
  </si>
  <si>
    <t>津辰风(挂)G2020-012号</t>
  </si>
  <si>
    <t xml:space="preserve"> 仓储用地 </t>
  </si>
  <si>
    <t xml:space="preserve"> W物流仓储用地 </t>
  </si>
  <si>
    <t xml:space="preserve"> ≤2.5 </t>
  </si>
  <si>
    <t xml:space="preserve"> 天津益海智能科技有限公司  </t>
  </si>
  <si>
    <t>天津市北辰区新明道南侧</t>
  </si>
  <si>
    <t>津辰双(挂)G2020-001号</t>
  </si>
  <si>
    <t xml:space="preserve"> 上海绿地商业(集团)有限公司  </t>
  </si>
  <si>
    <t>天津市北辰区科技园区</t>
  </si>
  <si>
    <t>津辰园(挂)G2020-009号</t>
  </si>
  <si>
    <t xml:space="preserve"> 0.7-1.5 </t>
  </si>
  <si>
    <t xml:space="preserve"> 天津爱旭太阳能科技有限公司  </t>
  </si>
  <si>
    <t>天津市北辰区永信道与通达路交口</t>
  </si>
  <si>
    <t>津辰风(挂)G2020-008号</t>
  </si>
  <si>
    <t xml:space="preserve"> 1.0-2.0 </t>
  </si>
  <si>
    <t xml:space="preserve"> 中兴环保(天津)有限公司  </t>
  </si>
  <si>
    <t>天津市北辰区陆路港物流装备产业园陆港五纬路与陆港一经路交口</t>
  </si>
  <si>
    <t>津辰港(挂)G2020-004号</t>
  </si>
  <si>
    <t xml:space="preserve"> 建科机械(天津)股份有限公司  </t>
  </si>
  <si>
    <t>天津市北辰区科技园区环东片区</t>
  </si>
  <si>
    <t>津辰园(挂)G2020-002号</t>
  </si>
  <si>
    <t xml:space="preserve"> 小刀(天津)车业有限公司  </t>
  </si>
  <si>
    <t>天津市北辰区新颜道与双德路交口</t>
  </si>
  <si>
    <t>津辰双(挂)G2019-018号</t>
  </si>
  <si>
    <t xml:space="preserve"> 天津优元仓储有限公司  </t>
  </si>
  <si>
    <t>天津市北辰区高端装备制造产业园</t>
  </si>
  <si>
    <t>津辰风(挂)G2019-020号</t>
  </si>
  <si>
    <t xml:space="preserve"> 智晟新能源技术(天津)有限公司  </t>
  </si>
  <si>
    <t>津辰园(挂)G2019-012号</t>
  </si>
  <si>
    <t xml:space="preserve"> 赛迈斯(天津)科技有限公司  </t>
  </si>
  <si>
    <t>天津市北辰区医药医疗器械工业园</t>
  </si>
  <si>
    <t>津辰示(挂)G2019-013号</t>
  </si>
  <si>
    <t xml:space="preserve"> 0.7-2.2 </t>
  </si>
  <si>
    <t xml:space="preserve"> 天津新伟动力科技有限公司  </t>
  </si>
  <si>
    <t>津辰园(挂)G2019-011号</t>
  </si>
  <si>
    <t xml:space="preserve"> 天津市聚能高压泵有限公司  </t>
  </si>
  <si>
    <t>津辰园(挂)G2019-010号</t>
  </si>
  <si>
    <t xml:space="preserve"> 天津雷沃泉康农业机械有限公司  </t>
  </si>
  <si>
    <t>天津市北辰区天津高端装备制造产业园</t>
  </si>
  <si>
    <t>津辰风(挂)G2019-008号</t>
  </si>
  <si>
    <t xml:space="preserve"> 天津市飞龙砼外加剂有限公司  </t>
  </si>
  <si>
    <t>天津市北辰区天津陆路港物流装备产业园</t>
  </si>
  <si>
    <t>津辰港(挂)G2019-007号</t>
  </si>
  <si>
    <t xml:space="preserve"> 仓储 </t>
  </si>
  <si>
    <t xml:space="preserve"> 天津宝辰智慧物流发展有限公司  </t>
  </si>
  <si>
    <t>津辰示(挂)G2019-005号</t>
  </si>
  <si>
    <t xml:space="preserve"> 国科恒翔(天津)医疗科技有限公司  </t>
  </si>
  <si>
    <t>天津市北辰区陆路港物流装备产业园</t>
  </si>
  <si>
    <t>津辰港(挂)G2019-006号</t>
  </si>
  <si>
    <t xml:space="preserve"> 仓储、公园与绿地 </t>
  </si>
  <si>
    <t xml:space="preserve"> G1公园绿地、W物流仓储用地 </t>
  </si>
  <si>
    <t>天津市北辰区北辰科技园区环东片区</t>
  </si>
  <si>
    <t>津辰园(挂)G2019-004号</t>
  </si>
  <si>
    <t xml:space="preserve"> 天津卓扬智联通讯有限公司  </t>
  </si>
  <si>
    <t>津辰风(挂)G2019-003号</t>
  </si>
  <si>
    <t xml:space="preserve"> 天津捷强动力装备股份有限公司  </t>
  </si>
  <si>
    <t>天津市北辰区双街镇</t>
  </si>
  <si>
    <t>津辰双(挂)G2019-001号</t>
  </si>
  <si>
    <t xml:space="preserve"> 天津绿地铂选电子商务有限公司  </t>
  </si>
  <si>
    <t>津辰双(挂)G2019-002号</t>
  </si>
  <si>
    <t xml:space="preserve"> 1.0-2.5 </t>
  </si>
  <si>
    <t xml:space="preserve"> 绿地置业发展(天津)有限公司  </t>
  </si>
  <si>
    <t>津辰园(挂)G2018-020号</t>
  </si>
  <si>
    <t xml:space="preserve"> 天津晨天智慧水务有限公司  </t>
  </si>
  <si>
    <t>津辰风(挂)G2018-021号</t>
  </si>
  <si>
    <t xml:space="preserve"> 天津林元机械设备有限公司  </t>
  </si>
  <si>
    <t>天津市北辰区九园公路与双德路交口</t>
  </si>
  <si>
    <t>津辰张(挂)G2018-012号</t>
  </si>
  <si>
    <t xml:space="preserve"> 天津津宁易达物流有限公司  </t>
  </si>
  <si>
    <t>津辰园(挂)G2018-013号</t>
  </si>
  <si>
    <t>津辰风(挂)G2018-008号</t>
  </si>
  <si>
    <t xml:space="preserve"> 天津华科泰生物技术有限公司  </t>
  </si>
  <si>
    <t>津辰风(挂)G2018-007号</t>
  </si>
  <si>
    <t>津辰风(挂)G2018-005号</t>
  </si>
  <si>
    <t xml:space="preserve"> 天津聚宸源汽车部件有限公司  </t>
  </si>
  <si>
    <t>津辰风(挂)G2018-004号</t>
  </si>
  <si>
    <t xml:space="preserve"> 天津市祥宏科技有限公司  </t>
  </si>
  <si>
    <t>津辰风(挂)G2018-006号</t>
  </si>
  <si>
    <t xml:space="preserve"> 天津菲达祥利科技有限公司  </t>
  </si>
  <si>
    <t>北辰科技园区环东片区</t>
  </si>
  <si>
    <t>津辰园(挂)G2017-014号</t>
  </si>
  <si>
    <t>天津高端装备制造产业园</t>
  </si>
  <si>
    <t>津辰风(挂)G2017-013号</t>
  </si>
  <si>
    <t xml:space="preserve"> 1.0-1.5 </t>
  </si>
  <si>
    <t xml:space="preserve"> Chayora Tianjin DCprop 1 Limited  </t>
  </si>
  <si>
    <t>津辰风(挂)G2017-016号</t>
  </si>
  <si>
    <t xml:space="preserve"> 天津市管道工程集团有限公司  </t>
  </si>
  <si>
    <t>天津陆路港物流装备产业园</t>
  </si>
  <si>
    <t>津辰港(挂)G2016-009号</t>
  </si>
  <si>
    <t xml:space="preserve"> 天津市时迈程贸易有限公司  </t>
  </si>
  <si>
    <t>北辰区医药医疗器械工业园地块</t>
  </si>
  <si>
    <t xml:space="preserve"> 双口 </t>
  </si>
  <si>
    <t>津辰示(挂)G2017-005号</t>
  </si>
  <si>
    <t xml:space="preserve"> 天津和治广平药业有限公司  </t>
  </si>
  <si>
    <t xml:space="preserve"> 小淀 </t>
  </si>
  <si>
    <t>津辰园(挂)G2017-003号</t>
  </si>
  <si>
    <t xml:space="preserve"> 工业 </t>
  </si>
  <si>
    <t xml:space="preserve"> 天津市中重科技工程有限公司  </t>
  </si>
  <si>
    <t>北辰区医药医疗器械工业园</t>
  </si>
  <si>
    <t>津辰示(挂)G2017-004号</t>
  </si>
  <si>
    <t xml:space="preserve"> 天津市辰寰工业园区管理有限公司  </t>
  </si>
  <si>
    <t>津辰风(挂)G2017-001号</t>
  </si>
  <si>
    <t xml:space="preserve"> ≥0.7且≤1 </t>
  </si>
  <si>
    <t xml:space="preserve"> 天津精周数控机床制造有限公司  </t>
  </si>
  <si>
    <t>津辰风(挂)G2016-019号</t>
  </si>
  <si>
    <t xml:space="preserve"> ≥0.8且≤1.5 </t>
  </si>
  <si>
    <t xml:space="preserve"> 天津长荣控股有限公司  </t>
  </si>
  <si>
    <t>其四至为：东至现东至通跃路，南至规划工业用地，西至兴河路，北至永进道。</t>
    <phoneticPr fontId="134" type="noConversion"/>
  </si>
  <si>
    <t>北辰区高端装备产业园兴河路与永信道交口</t>
    <phoneticPr fontId="134" type="noConversion"/>
  </si>
  <si>
    <t>津辰风(挂)G2023-011号</t>
    <phoneticPr fontId="134" type="noConversion"/>
  </si>
  <si>
    <t>北辰区永丰道与山河路交口</t>
    <phoneticPr fontId="134" type="noConversion"/>
  </si>
  <si>
    <t>东至山河路，南至永丰道，西至待建项目，北至泰伦特生物股份有限公司</t>
    <phoneticPr fontId="134" type="noConversion"/>
  </si>
  <si>
    <t>东至空地，南至永信道，西至兴河路，北至空地</t>
    <phoneticPr fontId="134" type="noConversion"/>
  </si>
  <si>
    <t>https://j.map.baidu.com/fc/E64i</t>
    <phoneticPr fontId="134" type="noConversion"/>
  </si>
  <si>
    <t>较规则</t>
  </si>
  <si>
    <t>较规则</t>
    <phoneticPr fontId="32" type="noConversion"/>
  </si>
  <si>
    <t>较好</t>
  </si>
  <si>
    <t>较好</t>
    <phoneticPr fontId="32" type="noConversion"/>
  </si>
  <si>
    <t>未注明，不修正</t>
  </si>
  <si>
    <t>未注明，不修正</t>
    <phoneticPr fontId="32" type="noConversion"/>
  </si>
  <si>
    <t>未包含在土地购买价格中</t>
  </si>
  <si>
    <t>全部缴纳</t>
  </si>
  <si>
    <t>已包含在土地取得成本中</t>
  </si>
  <si>
    <t>建筑物价值</t>
  </si>
  <si>
    <t>仓储用地</t>
    <phoneticPr fontId="32" type="noConversion"/>
  </si>
  <si>
    <t>工业用地</t>
    <phoneticPr fontId="32" type="noConversion"/>
  </si>
  <si>
    <t>租赁合同含税日租金</t>
    <phoneticPr fontId="3" type="noConversion"/>
  </si>
  <si>
    <t>含税物业费</t>
    <phoneticPr fontId="3" type="noConversion"/>
  </si>
  <si>
    <t>https://www.tjbc.gov.cn/zwgk/zcwj/qzfwj/202012/t20201230_5250293.html</t>
    <phoneticPr fontId="134" type="noConversion"/>
  </si>
  <si>
    <t>天津市北辰区人民政府关于印发北辰区市政公用基础设施配套费（基金）征收使用管理办法的通知</t>
    <phoneticPr fontId="134" type="noConversion"/>
  </si>
  <si>
    <t>〔北辰政发〔2018〕25号 〕</t>
    <phoneticPr fontId="134" type="noConversion"/>
  </si>
  <si>
    <t>《市财政局市发展改革委市建委关于将城市基础设施配套费纳入政府性基金管理有关事项的通知》（津财综【2017】154号）</t>
    <phoneticPr fontId="134" type="noConversion"/>
  </si>
  <si>
    <t>1层</t>
    <phoneticPr fontId="134" type="noConversion"/>
  </si>
  <si>
    <t>1层（负1至1）</t>
    <phoneticPr fontId="134" type="noConversion"/>
  </si>
  <si>
    <t>2层(小局部1层、3层）</t>
    <phoneticPr fontId="134" type="noConversion"/>
  </si>
  <si>
    <t>起始日</t>
    <phoneticPr fontId="134" type="noConversion"/>
  </si>
  <si>
    <t>终止日</t>
    <phoneticPr fontId="134" type="noConversion"/>
  </si>
  <si>
    <t>含税日租金</t>
    <phoneticPr fontId="134" type="noConversion"/>
  </si>
  <si>
    <t>含税物业费</t>
    <phoneticPr fontId="134" type="noConversion"/>
  </si>
  <si>
    <t>全部建筑面积</t>
    <phoneticPr fontId="134" type="noConversion"/>
  </si>
  <si>
    <t>租赁面积（建面）</t>
    <phoneticPr fontId="134" type="noConversion"/>
  </si>
  <si>
    <t>合计</t>
    <phoneticPr fontId="3" type="noConversion"/>
  </si>
  <si>
    <t>租赁终止日</t>
    <phoneticPr fontId="3" type="noConversion"/>
  </si>
  <si>
    <t>价值时点</t>
    <phoneticPr fontId="3" type="noConversion"/>
  </si>
  <si>
    <t>剩余租赁期</t>
    <phoneticPr fontId="3" type="noConversion"/>
  </si>
  <si>
    <t>市场租金</t>
    <phoneticPr fontId="3" type="noConversion"/>
  </si>
  <si>
    <t>增长率</t>
    <phoneticPr fontId="3" type="noConversion"/>
  </si>
  <si>
    <t>租期外日租金</t>
    <phoneticPr fontId="3" type="noConversion"/>
  </si>
  <si>
    <t>到期后成新</t>
    <phoneticPr fontId="3" type="noConversion"/>
  </si>
  <si>
    <t>合计</t>
    <phoneticPr fontId="134" type="noConversion"/>
  </si>
  <si>
    <t>一般</t>
  </si>
  <si>
    <t>较差</t>
  </si>
  <si>
    <t>七通</t>
  </si>
  <si>
    <t>项目模式</t>
  </si>
  <si>
    <t>租金</t>
  </si>
  <si>
    <t>工业</t>
    <phoneticPr fontId="31" type="noConversion"/>
  </si>
  <si>
    <t>正常</t>
  </si>
  <si>
    <t>报价</t>
  </si>
  <si>
    <t>报价</t>
    <phoneticPr fontId="31" type="noConversion"/>
  </si>
  <si>
    <t>库房</t>
  </si>
  <si>
    <t>库房</t>
    <phoneticPr fontId="31" type="noConversion"/>
  </si>
  <si>
    <t>钢混</t>
    <phoneticPr fontId="31" type="noConversion"/>
  </si>
  <si>
    <t>万发科技园，13702121138，何，层高10米</t>
    <phoneticPr fontId="134" type="noConversion"/>
  </si>
  <si>
    <t>含税不含物业费日租金为0.74元</t>
    <phoneticPr fontId="134" type="noConversion"/>
  </si>
  <si>
    <t>中关村（天津）可信产业园</t>
    <phoneticPr fontId="3" type="noConversion"/>
  </si>
  <si>
    <t>中关村（天津）可信产业园，含税租金1元，长租3年以上0.6元，物业费2元/月/平，</t>
    <phoneticPr fontId="134" type="noConversion"/>
  </si>
  <si>
    <t>万发科技园</t>
    <phoneticPr fontId="3" type="noConversion"/>
  </si>
  <si>
    <t>北辰科技园，日租金0.75元，在2层，不含发票，含物业费，物业费1.5元/月/平</t>
    <phoneticPr fontId="134" type="noConversion"/>
  </si>
  <si>
    <t>北辰科技园</t>
    <phoneticPr fontId="3" type="noConversion"/>
  </si>
  <si>
    <r>
      <rPr>
        <sz val="10"/>
        <color theme="9" tint="-0.249977111117893"/>
        <rFont val="宋体"/>
        <family val="3"/>
        <charset val="134"/>
      </rPr>
      <t>北辰区万河路</t>
    </r>
    <r>
      <rPr>
        <sz val="10"/>
        <color theme="9" tint="-0.249977111117893"/>
        <rFont val="Arial"/>
        <family val="2"/>
      </rPr>
      <t>55</t>
    </r>
    <r>
      <rPr>
        <sz val="10"/>
        <color theme="9" tint="-0.249977111117893"/>
        <rFont val="宋体"/>
        <family val="3"/>
        <charset val="134"/>
      </rPr>
      <t>号“京东智能产业园天津北辰”项目非居住用房</t>
    </r>
    <phoneticPr fontId="6" type="noConversion"/>
  </si>
  <si>
    <t>工规验收建筑面积</t>
    <phoneticPr fontId="134" type="noConversion"/>
  </si>
  <si>
    <t>工规建面</t>
    <phoneticPr fontId="134" type="noConversion"/>
  </si>
  <si>
    <t>工规验收实测建筑高度</t>
    <phoneticPr fontId="134" type="noConversion"/>
  </si>
  <si>
    <t>12-15建筑物连廊</t>
    <phoneticPr fontId="134" type="noConversion"/>
  </si>
  <si>
    <t>9、10、11建筑物坡道及平台</t>
    <phoneticPr fontId="134" type="noConversion"/>
  </si>
  <si>
    <t>现状楼层</t>
    <phoneticPr fontId="134" type="noConversion"/>
  </si>
  <si>
    <t>现场测量单层层高</t>
    <phoneticPr fontId="134" type="noConversion"/>
  </si>
  <si>
    <t>竣备建面</t>
    <phoneticPr fontId="134" type="noConversion"/>
  </si>
  <si>
    <t>竣备工程造价（万元）</t>
    <phoneticPr fontId="134" type="noConversion"/>
  </si>
  <si>
    <r>
      <t>1层库房层高</t>
    </r>
    <r>
      <rPr>
        <sz val="11"/>
        <color theme="1"/>
        <rFont val="宋体"/>
        <family val="3"/>
        <charset val="134"/>
        <scheme val="minor"/>
      </rPr>
      <t>8.81米，2层库房层高11.48米，办公单层层高3.59米</t>
    </r>
    <phoneticPr fontId="134" type="noConversion"/>
  </si>
  <si>
    <t>1层库房层高10.64米，2层库房层高10.79米，办公单层层高3米</t>
    <phoneticPr fontId="134" type="noConversion"/>
  </si>
  <si>
    <t>现状建设内容</t>
    <phoneticPr fontId="134" type="noConversion"/>
  </si>
  <si>
    <t>1#分拣中心（部分办公）</t>
    <phoneticPr fontId="134" type="noConversion"/>
  </si>
  <si>
    <t>2#分拣中心（部分办公）</t>
    <phoneticPr fontId="134" type="noConversion"/>
  </si>
  <si>
    <t>3#库房（部分办公）</t>
    <phoneticPr fontId="134" type="noConversion"/>
  </si>
  <si>
    <t>4#库房（部分办公）</t>
    <phoneticPr fontId="134" type="noConversion"/>
  </si>
  <si>
    <t>1层库房层高10.64米，2层库房层高10.87米，办公单层层高3米</t>
    <phoneticPr fontId="134" type="noConversion"/>
  </si>
  <si>
    <r>
      <t>1层</t>
    </r>
    <r>
      <rPr>
        <sz val="11"/>
        <color theme="1"/>
        <rFont val="宋体"/>
        <family val="3"/>
        <charset val="134"/>
        <scheme val="minor"/>
      </rPr>
      <t>2.96米，2-5层无吊顶3.45米，有吊顶2.48米</t>
    </r>
    <phoneticPr fontId="134" type="noConversion"/>
  </si>
  <si>
    <r>
      <t>门卫2</t>
    </r>
    <r>
      <rPr>
        <sz val="11"/>
        <color theme="1"/>
        <rFont val="宋体"/>
        <family val="3"/>
        <charset val="134"/>
        <scheme val="minor"/>
      </rPr>
      <t>.76米，物业2.81米，锅炉房无吊顶5.55米、有吊顶2.86米</t>
    </r>
    <phoneticPr fontId="134" type="noConversion"/>
  </si>
  <si>
    <t>单层层高11.42米</t>
    <phoneticPr fontId="134" type="noConversion"/>
  </si>
  <si>
    <t>含税，含物业费，不含水电</t>
    <phoneticPr fontId="31" type="noConversion"/>
  </si>
  <si>
    <t>https://www.tj.gov.cn/zwgk/zfxxgkzl/zlzc/zlgz/202111/t20211118_5712232.html</t>
    <phoneticPr fontId="134" type="noConversion"/>
  </si>
  <si>
    <t>https://tianjin.chinatax.gov.cn/11200000000/0300/030005/20220607153906864.shtml</t>
    <phoneticPr fontId="134" type="noConversion"/>
  </si>
  <si>
    <t>六通</t>
  </si>
  <si>
    <t>六通</t>
    <phoneticPr fontId="32" type="noConversion"/>
  </si>
  <si>
    <t>土地面积</t>
  </si>
  <si>
    <t>吴薇</t>
  </si>
  <si>
    <t>郑燚</t>
  </si>
  <si>
    <t>单独租办公楼日租金1元，和库房一起租日租金和库房一样</t>
    <phoneticPr fontId="134" type="noConversion"/>
  </si>
  <si>
    <t>大张庄镇，华润万家配送中心，万发科技园，不含税4-5块，无需缴纳物业费，不含水电</t>
    <phoneticPr fontId="134" type="noConversion"/>
  </si>
  <si>
    <r>
      <t>中泓置业中心企业港（中泓置业中心产业园），库房日租金0</t>
    </r>
    <r>
      <rPr>
        <sz val="11"/>
        <color theme="1"/>
        <rFont val="宋体"/>
        <family val="3"/>
        <charset val="134"/>
        <scheme val="minor"/>
      </rPr>
      <t>.7元，全含，层高14米，</t>
    </r>
    <phoneticPr fontId="134" type="noConversion"/>
  </si>
  <si>
    <t>中泓置业中心产业园</t>
    <phoneticPr fontId="3" type="noConversion"/>
  </si>
  <si>
    <r>
      <t>苏宁云仓北辰物流基地，日租金0</t>
    </r>
    <r>
      <rPr>
        <sz val="11"/>
        <color theme="1"/>
        <rFont val="宋体"/>
        <family val="3"/>
        <charset val="134"/>
        <scheme val="minor"/>
      </rPr>
      <t>.55-0.6元，全含，单层层高9米</t>
    </r>
    <phoneticPr fontId="134" type="noConversion"/>
  </si>
  <si>
    <t>苏宁云仓北辰物流基地</t>
    <phoneticPr fontId="3" type="noConversion"/>
  </si>
  <si>
    <t>华润万家配送中心</t>
    <phoneticPr fontId="3" type="noConversion"/>
  </si>
  <si>
    <t>按工规验收自行计算建面</t>
    <phoneticPr fontId="134" type="noConversion"/>
  </si>
  <si>
    <t>含税、物业费年租金</t>
    <phoneticPr fontId="134" type="noConversion"/>
  </si>
  <si>
    <t>含税、不含物业费年租金</t>
    <phoneticPr fontId="134" type="noConversion"/>
  </si>
  <si>
    <t>1#、2#分拣中心、3#、4#库房、7#、8#综合楼</t>
    <phoneticPr fontId="134" type="noConversion"/>
  </si>
  <si>
    <t>已出租面积</t>
    <phoneticPr fontId="3" type="noConversion"/>
  </si>
  <si>
    <t>已出租面积</t>
    <phoneticPr fontId="134" type="noConversion"/>
  </si>
  <si>
    <t>剩余面积</t>
    <phoneticPr fontId="3" type="noConversion"/>
  </si>
  <si>
    <t>地下</t>
  </si>
  <si>
    <t>5#库房2层（1层空置）</t>
    <phoneticPr fontId="134" type="noConversion"/>
  </si>
  <si>
    <t>自定义</t>
  </si>
  <si>
    <t xml:space="preserve"> 0.8-2.0 </t>
    <phoneticPr fontId="134" type="noConversion"/>
  </si>
  <si>
    <t>0.8-2.0</t>
    <phoneticPr fontId="32" type="noConversion"/>
  </si>
  <si>
    <t>0.8-2</t>
    <phoneticPr fontId="32" type="noConversion"/>
  </si>
  <si>
    <t>https://zfcxjs.tj.gov.cn/xxgk_70/zcwj/wfwj/202012/t20201203_4308724.html</t>
    <phoneticPr fontId="134" type="noConversion"/>
  </si>
  <si>
    <t>https://ghhzrzy.tj.gov.cn/zwgk_143/zcwj/jjzcwj/202012/t20201213_4963401.html</t>
    <phoneticPr fontId="134" type="noConversion"/>
  </si>
  <si>
    <t>不动产登记查询</t>
    <phoneticPr fontId="134" type="noConversion"/>
  </si>
  <si>
    <t>6#门卫、物业用房、锅炉房（1#）</t>
    <phoneticPr fontId="134" type="noConversion"/>
  </si>
  <si>
    <t>7#综合楼(1#)，1层食堂，2-5层宿舍</t>
    <phoneticPr fontId="134" type="noConversion"/>
  </si>
  <si>
    <t>8#综合楼(2#)，宿舍</t>
    <phoneticPr fontId="134" type="noConversion"/>
  </si>
  <si>
    <t>16#配电站（2#设备用房）</t>
    <phoneticPr fontId="134" type="noConversion"/>
  </si>
  <si>
    <t>17#门卫（2#）</t>
    <phoneticPr fontId="134" type="noConversion"/>
  </si>
  <si>
    <t>收益面积分拣中心、库房、综合楼合计</t>
    <phoneticPr fontId="134"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</si>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</sst>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2"/>
      <charset val="134"/>
    </font>
    <font>
      <i/>
      <sz val="9"/>
      <color theme="1"/>
      <name val="Arial"/>
      <family val="2"/>
    </font>
    <font>
      <i/>
      <sz val="9"/>
      <color theme="1"/>
      <name val="宋体"/>
      <family val="3"/>
      <charset val="134"/>
    </font>
    <font>
      <sz val="10"/>
      <color rgb="FFFF0000"/>
      <name val="宋体"/>
      <family val="3"/>
      <charset val="134"/>
      <scheme val="minor"/>
    </font>
    <font>
      <u/>
      <sz val="11"/>
      <color theme="10"/>
      <name val="宋体"/>
      <family val="3"/>
      <charset val="134"/>
      <scheme val="minor"/>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60" xfId="0" applyFont="1" applyFill="1" applyBorder="1" applyAlignment="1" applyProtection="1">
      <alignment vertical="center" wrapText="1"/>
      <protection locked="0"/>
    </xf>
    <xf numFmtId="0" fontId="98" fillId="0" borderId="0" xfId="0" applyFont="1" applyAlignment="1">
      <alignment horizontal="left" vertical="center" wrapText="1"/>
    </xf>
    <xf numFmtId="0" fontId="98" fillId="22" borderId="0" xfId="0" applyFont="1" applyFill="1" applyAlignment="1">
      <alignment horizontal="left" vertical="center" wrapText="1"/>
    </xf>
    <xf numFmtId="0" fontId="114" fillId="23" borderId="0" xfId="0" applyFont="1" applyFill="1" applyAlignment="1">
      <alignment horizontal="left" vertical="center" wrapText="1"/>
    </xf>
    <xf numFmtId="0" fontId="114" fillId="22" borderId="0" xfId="0" applyFont="1" applyFill="1" applyAlignment="1">
      <alignment horizontal="left" vertical="center" wrapText="1"/>
    </xf>
    <xf numFmtId="0" fontId="114" fillId="0" borderId="0" xfId="0" applyFont="1" applyAlignment="1">
      <alignment horizontal="left" vertical="center" wrapText="1"/>
    </xf>
    <xf numFmtId="0" fontId="98" fillId="0" borderId="0" xfId="0" applyFont="1" applyAlignment="1">
      <alignment vertical="center" wrapText="1"/>
    </xf>
    <xf numFmtId="0" fontId="269" fillId="22" borderId="0" xfId="0" applyFont="1" applyFill="1" applyAlignment="1">
      <alignment horizontal="left" vertical="center" wrapText="1"/>
    </xf>
    <xf numFmtId="0" fontId="270" fillId="0" borderId="0" xfId="0" applyFont="1" applyAlignment="1">
      <alignment horizontal="right" vertical="center" wrapText="1"/>
    </xf>
    <xf numFmtId="0" fontId="98" fillId="23" borderId="0" xfId="0" applyFont="1" applyFill="1" applyAlignment="1">
      <alignment horizontal="left" vertical="center" wrapText="1"/>
    </xf>
    <xf numFmtId="0" fontId="270" fillId="22" borderId="0" xfId="0" applyFont="1" applyFill="1" applyAlignment="1">
      <alignment horizontal="right" vertical="center" wrapText="1"/>
    </xf>
    <xf numFmtId="0" fontId="270" fillId="23" borderId="0" xfId="0" applyFont="1" applyFill="1" applyAlignment="1">
      <alignment horizontal="right" vertical="center" wrapText="1"/>
    </xf>
    <xf numFmtId="0" fontId="98" fillId="24" borderId="0" xfId="0" applyFont="1" applyFill="1" applyAlignment="1">
      <alignment horizontal="left" vertical="center" wrapText="1"/>
    </xf>
    <xf numFmtId="0" fontId="270" fillId="24" borderId="0" xfId="0" applyFont="1" applyFill="1" applyAlignment="1">
      <alignment horizontal="right" vertical="center" wrapText="1"/>
    </xf>
    <xf numFmtId="0" fontId="98" fillId="25" borderId="0" xfId="0" applyFont="1" applyFill="1" applyAlignment="1">
      <alignmen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27" borderId="0" xfId="0" applyFont="1" applyFill="1" applyAlignment="1">
      <alignment horizontal="left" vertical="center" wrapText="1"/>
    </xf>
    <xf numFmtId="181" fontId="98" fillId="0" borderId="0" xfId="17" applyNumberFormat="1" applyFont="1" applyAlignment="1">
      <alignment horizontal="left" vertical="center" wrapText="1"/>
    </xf>
    <xf numFmtId="181" fontId="98" fillId="0" borderId="0" xfId="0" applyNumberFormat="1" applyFont="1" applyAlignment="1">
      <alignment horizontal="left" vertical="center" wrapText="1"/>
    </xf>
    <xf numFmtId="0" fontId="128"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0" fontId="128" fillId="12" borderId="0" xfId="0" applyFont="1" applyFill="1" applyAlignment="1" applyProtection="1">
      <alignment horizontal="center" vertical="center"/>
      <protection locked="0"/>
    </xf>
    <xf numFmtId="0" fontId="95" fillId="0" borderId="0" xfId="0" applyFont="1">
      <alignment vertical="center"/>
    </xf>
    <xf numFmtId="0" fontId="95" fillId="0" borderId="0" xfId="0" applyFont="1" applyAlignment="1">
      <alignment horizontal="left" vertical="center"/>
    </xf>
    <xf numFmtId="0" fontId="9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46" fillId="0" borderId="0" xfId="0" applyFont="1" applyAlignment="1" applyProtection="1">
      <alignment horizontal="left" vertical="center"/>
      <protection locked="0"/>
    </xf>
    <xf numFmtId="0" fontId="107" fillId="0" borderId="0" xfId="0" applyNumberFormat="1" applyFont="1" applyAlignment="1">
      <alignment horizontal="left" vertical="center"/>
    </xf>
    <xf numFmtId="14" fontId="107" fillId="0" borderId="0" xfId="0" applyNumberFormat="1" applyFont="1" applyAlignment="1">
      <alignment horizontal="left" vertical="center"/>
    </xf>
    <xf numFmtId="0" fontId="272" fillId="0" borderId="0" xfId="0" applyNumberFormat="1" applyFont="1" applyAlignment="1">
      <alignment horizontal="left" vertical="center"/>
    </xf>
    <xf numFmtId="14" fontId="272" fillId="0" borderId="0" xfId="0" applyNumberFormat="1" applyFont="1" applyAlignment="1">
      <alignment horizontal="left" vertical="center"/>
    </xf>
    <xf numFmtId="0" fontId="107" fillId="0" borderId="0" xfId="0" applyNumberFormat="1" applyFont="1" applyAlignment="1">
      <alignment horizontal="left" vertical="center" wrapText="1"/>
    </xf>
    <xf numFmtId="0" fontId="107" fillId="5" borderId="0" xfId="0" applyNumberFormat="1" applyFont="1" applyFill="1" applyAlignment="1">
      <alignment horizontal="left" vertical="center"/>
    </xf>
    <xf numFmtId="14" fontId="107" fillId="5" borderId="0" xfId="0" applyNumberFormat="1" applyFont="1" applyFill="1" applyAlignment="1">
      <alignment horizontal="left" vertical="center"/>
    </xf>
    <xf numFmtId="0" fontId="273" fillId="0" borderId="0" xfId="19" applyNumberFormat="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6" fontId="47" fillId="12" borderId="0" xfId="0" applyNumberFormat="1" applyFont="1" applyFill="1" applyAlignment="1" applyProtection="1">
      <alignment vertical="center"/>
      <protection locked="0"/>
    </xf>
    <xf numFmtId="0" fontId="273" fillId="0" borderId="0" xfId="19">
      <alignment vertical="center"/>
    </xf>
    <xf numFmtId="14" fontId="0" fillId="0" borderId="0" xfId="0" applyNumberFormat="1" applyAlignment="1">
      <alignment horizontal="left" vertical="center"/>
    </xf>
    <xf numFmtId="180" fontId="95" fillId="0" borderId="0" xfId="0" applyNumberFormat="1" applyFont="1" applyAlignment="1">
      <alignment horizontal="left" vertical="center"/>
    </xf>
    <xf numFmtId="14" fontId="47" fillId="12"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10" fontId="47" fillId="12" borderId="0" xfId="0" applyNumberFormat="1" applyFont="1" applyFill="1" applyAlignment="1" applyProtection="1">
      <alignment vertical="center"/>
      <protection locked="0"/>
    </xf>
    <xf numFmtId="180" fontId="0" fillId="0" borderId="0" xfId="0" applyNumberFormat="1" applyAlignment="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0" fillId="0" borderId="0" xfId="0" applyFill="1" applyAlignment="1">
      <alignment horizontal="left" vertical="center"/>
    </xf>
    <xf numFmtId="0" fontId="95" fillId="0" borderId="0" xfId="0" applyFont="1" applyFill="1" applyAlignment="1">
      <alignment horizontal="left" vertical="center"/>
    </xf>
    <xf numFmtId="0" fontId="274" fillId="0" borderId="0" xfId="0" applyFont="1" applyFill="1" applyAlignment="1">
      <alignment horizontal="left" vertical="center"/>
    </xf>
    <xf numFmtId="179" fontId="0" fillId="0" borderId="0" xfId="0" applyNumberFormat="1" applyFill="1" applyAlignment="1">
      <alignment horizontal="left" vertical="center"/>
    </xf>
    <xf numFmtId="0" fontId="95" fillId="0" borderId="0" xfId="0" applyFont="1" applyFill="1" applyAlignment="1">
      <alignment horizontal="left" vertical="center" wrapText="1"/>
    </xf>
    <xf numFmtId="0" fontId="0" fillId="0" borderId="1" xfId="0" applyFill="1" applyBorder="1" applyAlignment="1">
      <alignment horizontal="left" vertical="center"/>
    </xf>
    <xf numFmtId="0" fontId="95" fillId="0" borderId="1" xfId="0" applyFont="1" applyFill="1" applyBorder="1" applyAlignment="1">
      <alignment horizontal="left" vertical="center"/>
    </xf>
    <xf numFmtId="0" fontId="95" fillId="0" borderId="1" xfId="0" applyFont="1" applyFill="1" applyBorder="1" applyAlignment="1">
      <alignment horizontal="left" vertical="center" wrapText="1"/>
    </xf>
    <xf numFmtId="176" fontId="0" fillId="0" borderId="1" xfId="0" applyNumberFormat="1" applyFill="1" applyBorder="1" applyAlignment="1">
      <alignment horizontal="left" vertical="center"/>
    </xf>
    <xf numFmtId="176" fontId="95" fillId="0" borderId="1" xfId="0" applyNumberFormat="1" applyFont="1" applyFill="1" applyBorder="1" applyAlignment="1">
      <alignment horizontal="left" vertical="center" wrapText="1"/>
    </xf>
    <xf numFmtId="185" fontId="0" fillId="0" borderId="1" xfId="0" applyNumberFormat="1" applyFill="1" applyBorder="1" applyAlignment="1">
      <alignment horizontal="left" vertical="center"/>
    </xf>
    <xf numFmtId="188" fontId="0" fillId="0" borderId="1" xfId="0" applyNumberFormat="1" applyFill="1" applyBorder="1" applyAlignment="1">
      <alignment horizontal="left" vertical="center"/>
    </xf>
    <xf numFmtId="176" fontId="95" fillId="0" borderId="1" xfId="0" applyNumberFormat="1" applyFont="1" applyFill="1" applyBorder="1" applyAlignment="1">
      <alignment horizontal="left" vertical="center"/>
    </xf>
    <xf numFmtId="179" fontId="95" fillId="0" borderId="0" xfId="0" applyNumberFormat="1" applyFont="1" applyFill="1" applyAlignment="1">
      <alignment horizontal="left" vertical="center" wrapText="1"/>
    </xf>
    <xf numFmtId="0" fontId="95" fillId="0" borderId="0" xfId="0" applyFont="1" applyAlignment="1">
      <alignment horizontal="left" vertical="center" wrapText="1"/>
    </xf>
    <xf numFmtId="14" fontId="95" fillId="0" borderId="0" xfId="0" applyNumberFormat="1" applyFont="1" applyAlignment="1">
      <alignment horizontal="left" vertical="center"/>
    </xf>
    <xf numFmtId="0" fontId="95" fillId="0" borderId="0" xfId="0" applyNumberFormat="1" applyFont="1" applyAlignment="1">
      <alignment horizontal="left" vertical="center"/>
    </xf>
    <xf numFmtId="0" fontId="44" fillId="16" borderId="61" xfId="0" applyFont="1" applyFill="1" applyBorder="1" applyAlignment="1" applyProtection="1">
      <alignment horizontal="center" vertical="center" wrapText="1"/>
    </xf>
    <xf numFmtId="0" fontId="44" fillId="16" borderId="5" xfId="0" applyFont="1" applyFill="1" applyBorder="1" applyAlignment="1" applyProtection="1">
      <alignment horizontal="center" vertical="center" wrapText="1"/>
    </xf>
    <xf numFmtId="0" fontId="44" fillId="16" borderId="4" xfId="0" applyFont="1" applyFill="1" applyBorder="1" applyAlignment="1" applyProtection="1">
      <alignment horizontal="center" vertical="center" wrapText="1"/>
    </xf>
    <xf numFmtId="0" fontId="47" fillId="16" borderId="24" xfId="0" applyFont="1" applyFill="1" applyBorder="1" applyProtection="1">
      <alignment vertical="center"/>
      <protection locked="0"/>
    </xf>
    <xf numFmtId="0" fontId="46" fillId="16" borderId="1" xfId="0" applyFont="1" applyFill="1" applyBorder="1" applyAlignment="1" applyProtection="1">
      <alignment horizontal="center" vertical="center"/>
      <protection locked="0"/>
    </xf>
    <xf numFmtId="0" fontId="47" fillId="16" borderId="49" xfId="0" applyFont="1" applyFill="1" applyBorder="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1" xfId="0" applyFont="1" applyFill="1" applyBorder="1" applyAlignment="1">
      <alignment horizontal="left" vertical="center"/>
    </xf>
    <xf numFmtId="176" fontId="0" fillId="0" borderId="1" xfId="0" applyNumberFormat="1" applyFill="1" applyBorder="1" applyAlignment="1">
      <alignment horizontal="center" vertical="center"/>
    </xf>
    <xf numFmtId="0" fontId="0" fillId="0" borderId="13" xfId="0" applyFill="1" applyBorder="1" applyAlignment="1">
      <alignment horizontal="left" vertical="center"/>
    </xf>
    <xf numFmtId="0" fontId="0" fillId="0" borderId="2" xfId="0" applyFill="1" applyBorder="1" applyAlignment="1">
      <alignment horizontal="left" vertical="center"/>
    </xf>
    <xf numFmtId="0" fontId="114" fillId="23" borderId="0" xfId="0" applyFont="1" applyFill="1" applyAlignment="1">
      <alignment horizontal="center" vertical="center" wrapText="1"/>
    </xf>
    <xf numFmtId="0" fontId="98" fillId="0" borderId="0" xfId="0" applyFont="1" applyAlignment="1">
      <alignment horizontal="left" vertical="center" wrapText="1"/>
    </xf>
    <xf numFmtId="0" fontId="98" fillId="0" borderId="0" xfId="0" applyFont="1" applyAlignment="1">
      <alignment horizontal="center" vertical="center" wrapText="1"/>
    </xf>
    <xf numFmtId="0" fontId="114" fillId="24" borderId="0" xfId="0" applyFont="1" applyFill="1" applyAlignment="1">
      <alignment horizontal="left" vertical="center" wrapText="1"/>
    </xf>
    <xf numFmtId="0" fontId="98" fillId="24" borderId="0" xfId="0" applyFont="1" applyFill="1" applyAlignment="1">
      <alignment horizontal="left" vertical="center" wrapText="1"/>
    </xf>
    <xf numFmtId="0" fontId="98" fillId="26" borderId="0" xfId="0" applyFont="1" applyFill="1" applyAlignment="1">
      <alignment horizontal="left" vertical="center" wrapText="1"/>
    </xf>
    <xf numFmtId="0" fontId="98" fillId="27" borderId="0" xfId="0" applyFont="1" applyFill="1" applyAlignment="1">
      <alignment horizontal="left" vertical="center" wrapText="1"/>
    </xf>
    <xf numFmtId="0" fontId="114" fillId="22" borderId="0" xfId="0" applyFont="1" applyFill="1" applyAlignment="1">
      <alignment horizontal="center" vertical="center" wrapText="1"/>
    </xf>
    <xf numFmtId="0" fontId="98" fillId="22" borderId="0" xfId="0" applyFont="1" applyFill="1" applyAlignment="1">
      <alignment horizontal="center" vertical="center" wrapText="1"/>
    </xf>
    <xf numFmtId="0" fontId="98" fillId="23" borderId="0" xfId="0" applyFont="1" applyFill="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4" fillId="0" borderId="1" xfId="0" applyFont="1" applyFill="1" applyBorder="1" applyAlignment="1">
      <alignment horizontal="left" vertical="center"/>
    </xf>
    <xf numFmtId="176" fontId="274" fillId="0" borderId="1" xfId="0" applyNumberFormat="1" applyFont="1" applyFill="1" applyBorder="1" applyAlignment="1">
      <alignment horizontal="left" vertical="center"/>
    </xf>
    <xf numFmtId="179" fontId="274" fillId="0" borderId="0" xfId="0" applyNumberFormat="1" applyFont="1" applyFill="1" applyAlignment="1">
      <alignment horizontal="left" vertical="center"/>
    </xf>
    <xf numFmtId="0" fontId="95" fillId="5" borderId="0" xfId="0" applyFont="1" applyFill="1" applyAlignment="1">
      <alignment horizontal="left" vertical="center" wrapText="1"/>
    </xf>
    <xf numFmtId="176" fontId="274" fillId="5" borderId="0" xfId="0" applyNumberFormat="1" applyFont="1" applyFill="1" applyAlignment="1">
      <alignment horizontal="left" vertical="center"/>
    </xf>
    <xf numFmtId="0" fontId="0" fillId="0" borderId="13" xfId="0" applyFill="1" applyBorder="1" applyAlignment="1">
      <alignment horizontal="center" vertical="center"/>
    </xf>
    <xf numFmtId="0" fontId="0" fillId="0" borderId="15" xfId="0" applyFill="1" applyBorder="1" applyAlignment="1">
      <alignment horizontal="center" vertical="center"/>
    </xf>
    <xf numFmtId="0" fontId="0" fillId="0" borderId="2" xfId="0" applyFill="1" applyBorder="1" applyAlignment="1">
      <alignment horizontal="center" vertical="center"/>
    </xf>
    <xf numFmtId="181" fontId="44" fillId="0" borderId="1" xfId="0" applyNumberFormat="1" applyFont="1" applyFill="1" applyBorder="1" applyAlignment="1" applyProtection="1">
      <alignment vertical="center"/>
      <protection locked="0"/>
    </xf>
    <xf numFmtId="177" fontId="47" fillId="18" borderId="1" xfId="1" applyNumberFormat="1" applyFont="1" applyFill="1" applyBorder="1" applyAlignment="1" applyProtection="1">
      <alignment horizontal="center" vertical="center"/>
      <protection locked="0"/>
    </xf>
    <xf numFmtId="0" fontId="44" fillId="0" borderId="23" xfId="0" applyFont="1" applyFill="1" applyBorder="1" applyAlignment="1" applyProtection="1">
      <alignment horizontal="center" vertical="center"/>
      <protection locked="0"/>
    </xf>
    <xf numFmtId="0" fontId="61" fillId="18" borderId="3" xfId="0" applyNumberFormat="1" applyFont="1" applyFill="1" applyBorder="1" applyAlignment="1" applyProtection="1">
      <alignment horizontal="center" vertical="center" wrapText="1"/>
      <protection locked="0"/>
    </xf>
    <xf numFmtId="0" fontId="44" fillId="18" borderId="73"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 Id="rId9" Type="http://schemas.openxmlformats.org/officeDocument/2006/relationships/image" Target="../media/image39.png"/></Relationships>
</file>

<file path=xl/drawings/_rels/drawing7.x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26</xdr:row>
      <xdr:rowOff>0</xdr:rowOff>
    </xdr:from>
    <xdr:to>
      <xdr:col>11</xdr:col>
      <xdr:colOff>113469</xdr:colOff>
      <xdr:row>58</xdr:row>
      <xdr:rowOff>75505</xdr:rowOff>
    </xdr:to>
    <xdr:pic>
      <xdr:nvPicPr>
        <xdr:cNvPr id="2" name="图片 1"/>
        <xdr:cNvPicPr>
          <a:picLocks noChangeAspect="1"/>
        </xdr:cNvPicPr>
      </xdr:nvPicPr>
      <xdr:blipFill>
        <a:blip xmlns:r="http://schemas.openxmlformats.org/officeDocument/2006/relationships" r:embed="rId1"/>
        <a:stretch>
          <a:fillRect/>
        </a:stretch>
      </xdr:blipFill>
      <xdr:spPr>
        <a:xfrm>
          <a:off x="3752850" y="5143500"/>
          <a:ext cx="6647619"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67</xdr:row>
      <xdr:rowOff>57150</xdr:rowOff>
    </xdr:from>
    <xdr:to>
      <xdr:col>16</xdr:col>
      <xdr:colOff>427601</xdr:colOff>
      <xdr:row>98</xdr:row>
      <xdr:rowOff>75607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67400"/>
          <a:ext cx="8190476" cy="4742857"/>
        </a:xfrm>
        <a:prstGeom prst="rect">
          <a:avLst/>
        </a:prstGeom>
      </xdr:spPr>
    </xdr:pic>
    <xdr:clientData/>
  </xdr:twoCellAnchor>
  <xdr:twoCellAnchor>
    <xdr:from>
      <xdr:col>8</xdr:col>
      <xdr:colOff>200025</xdr:colOff>
      <xdr:row>71</xdr:row>
      <xdr:rowOff>19050</xdr:rowOff>
    </xdr:from>
    <xdr:to>
      <xdr:col>11</xdr:col>
      <xdr:colOff>85725</xdr:colOff>
      <xdr:row>74</xdr:row>
      <xdr:rowOff>0</xdr:rowOff>
    </xdr:to>
    <xdr:sp macro="" textlink="">
      <xdr:nvSpPr>
        <xdr:cNvPr id="3" name="椭圆形标注 2"/>
        <xdr:cNvSpPr/>
      </xdr:nvSpPr>
      <xdr:spPr>
        <a:xfrm>
          <a:off x="5076825" y="6438900"/>
          <a:ext cx="1143000" cy="438150"/>
        </a:xfrm>
        <a:prstGeom prst="wedgeEllipseCallout">
          <a:avLst>
            <a:gd name="adj1" fmla="val -36666"/>
            <a:gd name="adj2" fmla="val 8206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估价对象</a:t>
          </a:r>
        </a:p>
      </xdr:txBody>
    </xdr:sp>
    <xdr:clientData/>
  </xdr:twoCellAnchor>
  <xdr:twoCellAnchor>
    <xdr:from>
      <xdr:col>2</xdr:col>
      <xdr:colOff>276225</xdr:colOff>
      <xdr:row>90</xdr:row>
      <xdr:rowOff>142875</xdr:rowOff>
    </xdr:from>
    <xdr:to>
      <xdr:col>5</xdr:col>
      <xdr:colOff>9525</xdr:colOff>
      <xdr:row>93</xdr:row>
      <xdr:rowOff>123825</xdr:rowOff>
    </xdr:to>
    <xdr:sp macro="" textlink="">
      <xdr:nvSpPr>
        <xdr:cNvPr id="4" name="椭圆形标注 3"/>
        <xdr:cNvSpPr/>
      </xdr:nvSpPr>
      <xdr:spPr>
        <a:xfrm>
          <a:off x="2000250" y="9458325"/>
          <a:ext cx="1143000" cy="438150"/>
        </a:xfrm>
        <a:prstGeom prst="wedgeEllipseCallout">
          <a:avLst>
            <a:gd name="adj1" fmla="val -44999"/>
            <a:gd name="adj2" fmla="val -89674"/>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B</a:t>
          </a:r>
          <a:endParaRPr lang="zh-CN" altLang="en-US" sz="1100">
            <a:solidFill>
              <a:schemeClr val="tx1"/>
            </a:solidFill>
          </a:endParaRPr>
        </a:p>
      </xdr:txBody>
    </xdr:sp>
    <xdr:clientData/>
  </xdr:twoCellAnchor>
  <xdr:twoCellAnchor>
    <xdr:from>
      <xdr:col>4</xdr:col>
      <xdr:colOff>161925</xdr:colOff>
      <xdr:row>83</xdr:row>
      <xdr:rowOff>142875</xdr:rowOff>
    </xdr:from>
    <xdr:to>
      <xdr:col>5</xdr:col>
      <xdr:colOff>447675</xdr:colOff>
      <xdr:row>86</xdr:row>
      <xdr:rowOff>123825</xdr:rowOff>
    </xdr:to>
    <xdr:sp macro="" textlink="">
      <xdr:nvSpPr>
        <xdr:cNvPr id="5" name="椭圆形标注 4"/>
        <xdr:cNvSpPr/>
      </xdr:nvSpPr>
      <xdr:spPr>
        <a:xfrm>
          <a:off x="2438400" y="8391525"/>
          <a:ext cx="1143000" cy="438150"/>
        </a:xfrm>
        <a:prstGeom prst="wedgeEllipseCallout">
          <a:avLst>
            <a:gd name="adj1" fmla="val -75832"/>
            <a:gd name="adj2" fmla="val 58152"/>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A</a:t>
          </a:r>
          <a:endParaRPr lang="zh-CN" altLang="en-US" sz="1100">
            <a:solidFill>
              <a:schemeClr val="tx1"/>
            </a:solidFill>
          </a:endParaRPr>
        </a:p>
      </xdr:txBody>
    </xdr:sp>
    <xdr:clientData/>
  </xdr:twoCellAnchor>
  <xdr:twoCellAnchor>
    <xdr:from>
      <xdr:col>4</xdr:col>
      <xdr:colOff>295275</xdr:colOff>
      <xdr:row>77</xdr:row>
      <xdr:rowOff>9525</xdr:rowOff>
    </xdr:from>
    <xdr:to>
      <xdr:col>5</xdr:col>
      <xdr:colOff>581025</xdr:colOff>
      <xdr:row>79</xdr:row>
      <xdr:rowOff>142875</xdr:rowOff>
    </xdr:to>
    <xdr:sp macro="" textlink="">
      <xdr:nvSpPr>
        <xdr:cNvPr id="6" name="椭圆形标注 5"/>
        <xdr:cNvSpPr/>
      </xdr:nvSpPr>
      <xdr:spPr>
        <a:xfrm>
          <a:off x="2571750" y="7343775"/>
          <a:ext cx="1143000" cy="438150"/>
        </a:xfrm>
        <a:prstGeom prst="wedgeEllipseCallout">
          <a:avLst>
            <a:gd name="adj1" fmla="val -46666"/>
            <a:gd name="adj2" fmla="val 82065"/>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C</a:t>
          </a:r>
          <a:endParaRPr lang="zh-CN" alt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28575</xdr:rowOff>
    </xdr:from>
    <xdr:to>
      <xdr:col>11</xdr:col>
      <xdr:colOff>506611</xdr:colOff>
      <xdr:row>20</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28575"/>
          <a:ext cx="8050410" cy="3552825"/>
        </a:xfrm>
        <a:prstGeom prst="rect">
          <a:avLst/>
        </a:prstGeom>
      </xdr:spPr>
    </xdr:pic>
    <xdr:clientData/>
  </xdr:twoCellAnchor>
  <xdr:twoCellAnchor editAs="oneCell">
    <xdr:from>
      <xdr:col>0</xdr:col>
      <xdr:colOff>0</xdr:colOff>
      <xdr:row>50</xdr:row>
      <xdr:rowOff>1</xdr:rowOff>
    </xdr:from>
    <xdr:to>
      <xdr:col>11</xdr:col>
      <xdr:colOff>626819</xdr:colOff>
      <xdr:row>70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1"/>
          <a:ext cx="8170619" cy="3438524"/>
        </a:xfrm>
        <a:prstGeom prst="rect">
          <a:avLst/>
        </a:prstGeom>
      </xdr:spPr>
    </xdr:pic>
    <xdr:clientData/>
  </xdr:twoCellAnchor>
  <xdr:twoCellAnchor editAs="oneCell">
    <xdr:from>
      <xdr:col>0</xdr:col>
      <xdr:colOff>0</xdr:colOff>
      <xdr:row>72</xdr:row>
      <xdr:rowOff>142876</xdr:rowOff>
    </xdr:from>
    <xdr:to>
      <xdr:col>11</xdr:col>
      <xdr:colOff>171450</xdr:colOff>
      <xdr:row>92</xdr:row>
      <xdr:rowOff>55878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487276"/>
          <a:ext cx="7715250" cy="3342002"/>
        </a:xfrm>
        <a:prstGeom prst="rect">
          <a:avLst/>
        </a:prstGeom>
      </xdr:spPr>
    </xdr:pic>
    <xdr:clientData/>
  </xdr:twoCellAnchor>
  <xdr:twoCellAnchor editAs="oneCell">
    <xdr:from>
      <xdr:col>0</xdr:col>
      <xdr:colOff>0</xdr:colOff>
      <xdr:row>94</xdr:row>
      <xdr:rowOff>152401</xdr:rowOff>
    </xdr:from>
    <xdr:to>
      <xdr:col>12</xdr:col>
      <xdr:colOff>9525</xdr:colOff>
      <xdr:row>119</xdr:row>
      <xdr:rowOff>167925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68701"/>
          <a:ext cx="8239125" cy="4301774"/>
        </a:xfrm>
        <a:prstGeom prst="rect">
          <a:avLst/>
        </a:prstGeom>
      </xdr:spPr>
    </xdr:pic>
    <xdr:clientData/>
  </xdr:twoCellAnchor>
  <xdr:twoCellAnchor editAs="oneCell">
    <xdr:from>
      <xdr:col>0</xdr:col>
      <xdr:colOff>0</xdr:colOff>
      <xdr:row>121</xdr:row>
      <xdr:rowOff>114301</xdr:rowOff>
    </xdr:from>
    <xdr:to>
      <xdr:col>11</xdr:col>
      <xdr:colOff>371475</xdr:colOff>
      <xdr:row>142</xdr:row>
      <xdr:rowOff>167055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859751"/>
          <a:ext cx="7915275" cy="3653204"/>
        </a:xfrm>
        <a:prstGeom prst="rect">
          <a:avLst/>
        </a:prstGeom>
      </xdr:spPr>
    </xdr:pic>
    <xdr:clientData/>
  </xdr:twoCellAnchor>
  <xdr:twoCellAnchor editAs="oneCell">
    <xdr:from>
      <xdr:col>0</xdr:col>
      <xdr:colOff>0</xdr:colOff>
      <xdr:row>148</xdr:row>
      <xdr:rowOff>0</xdr:rowOff>
    </xdr:from>
    <xdr:to>
      <xdr:col>14</xdr:col>
      <xdr:colOff>122609</xdr:colOff>
      <xdr:row>158</xdr:row>
      <xdr:rowOff>171214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9723809" cy="1885714"/>
        </a:xfrm>
        <a:prstGeom prst="rect">
          <a:avLst/>
        </a:prstGeom>
      </xdr:spPr>
    </xdr:pic>
    <xdr:clientData/>
  </xdr:twoCellAnchor>
  <xdr:twoCellAnchor editAs="oneCell">
    <xdr:from>
      <xdr:col>0</xdr:col>
      <xdr:colOff>0</xdr:colOff>
      <xdr:row>159</xdr:row>
      <xdr:rowOff>0</xdr:rowOff>
    </xdr:from>
    <xdr:to>
      <xdr:col>14</xdr:col>
      <xdr:colOff>274990</xdr:colOff>
      <xdr:row>168</xdr:row>
      <xdr:rowOff>18855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4688800"/>
          <a:ext cx="9876190" cy="1561905"/>
        </a:xfrm>
        <a:prstGeom prst="rect">
          <a:avLst/>
        </a:prstGeom>
      </xdr:spPr>
    </xdr:pic>
    <xdr:clientData/>
  </xdr:twoCellAnchor>
  <xdr:twoCellAnchor editAs="oneCell">
    <xdr:from>
      <xdr:col>0</xdr:col>
      <xdr:colOff>0</xdr:colOff>
      <xdr:row>168</xdr:row>
      <xdr:rowOff>0</xdr:rowOff>
    </xdr:from>
    <xdr:to>
      <xdr:col>14</xdr:col>
      <xdr:colOff>74990</xdr:colOff>
      <xdr:row>177</xdr:row>
      <xdr:rowOff>133140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231850"/>
          <a:ext cx="9676190" cy="1676190"/>
        </a:xfrm>
        <a:prstGeom prst="rect">
          <a:avLst/>
        </a:prstGeom>
      </xdr:spPr>
    </xdr:pic>
    <xdr:clientData/>
  </xdr:twoCellAnchor>
  <xdr:twoCellAnchor editAs="oneCell">
    <xdr:from>
      <xdr:col>0</xdr:col>
      <xdr:colOff>0</xdr:colOff>
      <xdr:row>178</xdr:row>
      <xdr:rowOff>0</xdr:rowOff>
    </xdr:from>
    <xdr:to>
      <xdr:col>14</xdr:col>
      <xdr:colOff>332133</xdr:colOff>
      <xdr:row>197</xdr:row>
      <xdr:rowOff>94831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946350"/>
          <a:ext cx="9933333" cy="3352381"/>
        </a:xfrm>
        <a:prstGeom prst="rect">
          <a:avLst/>
        </a:prstGeom>
      </xdr:spPr>
    </xdr:pic>
    <xdr:clientData/>
  </xdr:twoCellAnchor>
  <xdr:twoCellAnchor editAs="oneCell">
    <xdr:from>
      <xdr:col>0</xdr:col>
      <xdr:colOff>0</xdr:colOff>
      <xdr:row>198</xdr:row>
      <xdr:rowOff>0</xdr:rowOff>
    </xdr:from>
    <xdr:to>
      <xdr:col>14</xdr:col>
      <xdr:colOff>55943</xdr:colOff>
      <xdr:row>207</xdr:row>
      <xdr:rowOff>123617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375350"/>
          <a:ext cx="9657143" cy="1666667"/>
        </a:xfrm>
        <a:prstGeom prst="rect">
          <a:avLst/>
        </a:prstGeom>
      </xdr:spPr>
    </xdr:pic>
    <xdr:clientData/>
  </xdr:twoCellAnchor>
  <xdr:twoCellAnchor editAs="oneCell">
    <xdr:from>
      <xdr:col>0</xdr:col>
      <xdr:colOff>0</xdr:colOff>
      <xdr:row>208</xdr:row>
      <xdr:rowOff>0</xdr:rowOff>
    </xdr:from>
    <xdr:to>
      <xdr:col>14</xdr:col>
      <xdr:colOff>179752</xdr:colOff>
      <xdr:row>217</xdr:row>
      <xdr:rowOff>85521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3089850"/>
          <a:ext cx="9780952" cy="1628571"/>
        </a:xfrm>
        <a:prstGeom prst="rect">
          <a:avLst/>
        </a:prstGeom>
      </xdr:spPr>
    </xdr:pic>
    <xdr:clientData/>
  </xdr:twoCellAnchor>
  <xdr:twoCellAnchor editAs="oneCell">
    <xdr:from>
      <xdr:col>0</xdr:col>
      <xdr:colOff>0</xdr:colOff>
      <xdr:row>218</xdr:row>
      <xdr:rowOff>0</xdr:rowOff>
    </xdr:from>
    <xdr:to>
      <xdr:col>14</xdr:col>
      <xdr:colOff>94038</xdr:colOff>
      <xdr:row>228</xdr:row>
      <xdr:rowOff>37881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4804350"/>
          <a:ext cx="9695238" cy="1752381"/>
        </a:xfrm>
        <a:prstGeom prst="rect">
          <a:avLst/>
        </a:prstGeom>
      </xdr:spPr>
    </xdr:pic>
    <xdr:clientData/>
  </xdr:twoCellAnchor>
  <xdr:twoCellAnchor editAs="oneCell">
    <xdr:from>
      <xdr:col>0</xdr:col>
      <xdr:colOff>0</xdr:colOff>
      <xdr:row>22</xdr:row>
      <xdr:rowOff>161925</xdr:rowOff>
    </xdr:from>
    <xdr:to>
      <xdr:col>10</xdr:col>
      <xdr:colOff>492165</xdr:colOff>
      <xdr:row>41</xdr:row>
      <xdr:rowOff>133350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933825"/>
          <a:ext cx="7350165" cy="3228975"/>
        </a:xfrm>
        <a:prstGeom prst="rect">
          <a:avLst/>
        </a:prstGeom>
      </xdr:spPr>
    </xdr:pic>
    <xdr:clientData/>
  </xdr:twoCellAnchor>
  <xdr:twoCellAnchor editAs="oneCell">
    <xdr:from>
      <xdr:col>10</xdr:col>
      <xdr:colOff>628650</xdr:colOff>
      <xdr:row>22</xdr:row>
      <xdr:rowOff>95251</xdr:rowOff>
    </xdr:from>
    <xdr:to>
      <xdr:col>19</xdr:col>
      <xdr:colOff>360997</xdr:colOff>
      <xdr:row>43</xdr:row>
      <xdr:rowOff>81813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7486650" y="3867151"/>
          <a:ext cx="5904547" cy="35870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675848</xdr:colOff>
      <xdr:row>18</xdr:row>
      <xdr:rowOff>9138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19048" cy="3095238"/>
        </a:xfrm>
        <a:prstGeom prst="rect">
          <a:avLst/>
        </a:prstGeom>
      </xdr:spPr>
    </xdr:pic>
    <xdr:clientData/>
  </xdr:twoCellAnchor>
  <xdr:twoCellAnchor editAs="oneCell">
    <xdr:from>
      <xdr:col>5</xdr:col>
      <xdr:colOff>0</xdr:colOff>
      <xdr:row>0</xdr:row>
      <xdr:rowOff>0</xdr:rowOff>
    </xdr:from>
    <xdr:to>
      <xdr:col>9</xdr:col>
      <xdr:colOff>637752</xdr:colOff>
      <xdr:row>25</xdr:row>
      <xdr:rowOff>85179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80952" cy="4371429"/>
        </a:xfrm>
        <a:prstGeom prst="rect">
          <a:avLst/>
        </a:prstGeom>
      </xdr:spPr>
    </xdr:pic>
    <xdr:clientData/>
  </xdr:twoCellAnchor>
  <xdr:twoCellAnchor editAs="oneCell">
    <xdr:from>
      <xdr:col>10</xdr:col>
      <xdr:colOff>0</xdr:colOff>
      <xdr:row>0</xdr:row>
      <xdr:rowOff>0</xdr:rowOff>
    </xdr:from>
    <xdr:to>
      <xdr:col>24</xdr:col>
      <xdr:colOff>636895</xdr:colOff>
      <xdr:row>27</xdr:row>
      <xdr:rowOff>8945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10238095" cy="4638095"/>
        </a:xfrm>
        <a:prstGeom prst="rect">
          <a:avLst/>
        </a:prstGeom>
      </xdr:spPr>
    </xdr:pic>
    <xdr:clientData/>
  </xdr:twoCellAnchor>
  <xdr:twoCellAnchor editAs="oneCell">
    <xdr:from>
      <xdr:col>0</xdr:col>
      <xdr:colOff>0</xdr:colOff>
      <xdr:row>29</xdr:row>
      <xdr:rowOff>0</xdr:rowOff>
    </xdr:from>
    <xdr:to>
      <xdr:col>13</xdr:col>
      <xdr:colOff>643055</xdr:colOff>
      <xdr:row>53</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72050"/>
          <a:ext cx="9558455" cy="4124325"/>
        </a:xfrm>
        <a:prstGeom prst="rect">
          <a:avLst/>
        </a:prstGeom>
      </xdr:spPr>
    </xdr:pic>
    <xdr:clientData/>
  </xdr:twoCellAnchor>
  <xdr:twoCellAnchor editAs="oneCell">
    <xdr:from>
      <xdr:col>0</xdr:col>
      <xdr:colOff>1</xdr:colOff>
      <xdr:row>55</xdr:row>
      <xdr:rowOff>0</xdr:rowOff>
    </xdr:from>
    <xdr:to>
      <xdr:col>13</xdr:col>
      <xdr:colOff>517943</xdr:colOff>
      <xdr:row>78</xdr:row>
      <xdr:rowOff>142875</xdr:rowOff>
    </xdr:to>
    <xdr:pic>
      <xdr:nvPicPr>
        <xdr:cNvPr id="6" name="图片 5"/>
        <xdr:cNvPicPr>
          <a:picLocks noChangeAspect="1"/>
        </xdr:cNvPicPr>
      </xdr:nvPicPr>
      <xdr:blipFill>
        <a:blip xmlns:r="http://schemas.openxmlformats.org/officeDocument/2006/relationships" r:embed="rId5"/>
        <a:stretch>
          <a:fillRect/>
        </a:stretch>
      </xdr:blipFill>
      <xdr:spPr>
        <a:xfrm>
          <a:off x="1" y="9429750"/>
          <a:ext cx="9433342" cy="4086225"/>
        </a:xfrm>
        <a:prstGeom prst="rect">
          <a:avLst/>
        </a:prstGeom>
      </xdr:spPr>
    </xdr:pic>
    <xdr:clientData/>
  </xdr:twoCellAnchor>
  <xdr:twoCellAnchor editAs="oneCell">
    <xdr:from>
      <xdr:col>0</xdr:col>
      <xdr:colOff>0</xdr:colOff>
      <xdr:row>81</xdr:row>
      <xdr:rowOff>0</xdr:rowOff>
    </xdr:from>
    <xdr:to>
      <xdr:col>13</xdr:col>
      <xdr:colOff>522695</xdr:colOff>
      <xdr:row>110</xdr:row>
      <xdr:rowOff>113664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887450"/>
          <a:ext cx="9438095" cy="50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14</xdr:col>
      <xdr:colOff>94039</xdr:colOff>
      <xdr:row>15</xdr:row>
      <xdr:rowOff>161669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9429750"/>
          <a:ext cx="9695239" cy="2047619"/>
        </a:xfrm>
        <a:prstGeom prst="rect">
          <a:avLst/>
        </a:prstGeom>
      </xdr:spPr>
    </xdr:pic>
    <xdr:clientData/>
  </xdr:twoCellAnchor>
  <xdr:twoCellAnchor editAs="oneCell">
    <xdr:from>
      <xdr:col>0</xdr:col>
      <xdr:colOff>0</xdr:colOff>
      <xdr:row>16</xdr:row>
      <xdr:rowOff>0</xdr:rowOff>
    </xdr:from>
    <xdr:to>
      <xdr:col>11</xdr:col>
      <xdr:colOff>484772</xdr:colOff>
      <xdr:row>49</xdr:row>
      <xdr:rowOff>65960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1487150"/>
          <a:ext cx="8028572" cy="5723810"/>
        </a:xfrm>
        <a:prstGeom prst="rect">
          <a:avLst/>
        </a:prstGeom>
      </xdr:spPr>
    </xdr:pic>
    <xdr:clientData/>
  </xdr:twoCellAnchor>
  <xdr:twoCellAnchor editAs="oneCell">
    <xdr:from>
      <xdr:col>0</xdr:col>
      <xdr:colOff>0</xdr:colOff>
      <xdr:row>50</xdr:row>
      <xdr:rowOff>0</xdr:rowOff>
    </xdr:from>
    <xdr:to>
      <xdr:col>11</xdr:col>
      <xdr:colOff>56201</xdr:colOff>
      <xdr:row>78</xdr:row>
      <xdr:rowOff>142257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7316450"/>
          <a:ext cx="7600001" cy="4942857"/>
        </a:xfrm>
        <a:prstGeom prst="rect">
          <a:avLst/>
        </a:prstGeom>
      </xdr:spPr>
    </xdr:pic>
    <xdr:clientData/>
  </xdr:twoCellAnchor>
  <xdr:twoCellAnchor editAs="oneCell">
    <xdr:from>
      <xdr:col>0</xdr:col>
      <xdr:colOff>0</xdr:colOff>
      <xdr:row>83</xdr:row>
      <xdr:rowOff>0</xdr:rowOff>
    </xdr:from>
    <xdr:to>
      <xdr:col>14</xdr:col>
      <xdr:colOff>132134</xdr:colOff>
      <xdr:row>98</xdr:row>
      <xdr:rowOff>104441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4230350"/>
          <a:ext cx="9733334" cy="2676191"/>
        </a:xfrm>
        <a:prstGeom prst="rect">
          <a:avLst/>
        </a:prstGeom>
      </xdr:spPr>
    </xdr:pic>
    <xdr:clientData/>
  </xdr:twoCellAnchor>
  <xdr:twoCellAnchor editAs="oneCell">
    <xdr:from>
      <xdr:col>0</xdr:col>
      <xdr:colOff>0</xdr:colOff>
      <xdr:row>99</xdr:row>
      <xdr:rowOff>0</xdr:rowOff>
    </xdr:from>
    <xdr:to>
      <xdr:col>10</xdr:col>
      <xdr:colOff>599143</xdr:colOff>
      <xdr:row>119</xdr:row>
      <xdr:rowOff>28143</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6973550"/>
          <a:ext cx="7457143" cy="3457143"/>
        </a:xfrm>
        <a:prstGeom prst="rect">
          <a:avLst/>
        </a:prstGeom>
      </xdr:spPr>
    </xdr:pic>
    <xdr:clientData/>
  </xdr:twoCellAnchor>
  <xdr:twoCellAnchor editAs="oneCell">
    <xdr:from>
      <xdr:col>0</xdr:col>
      <xdr:colOff>0</xdr:colOff>
      <xdr:row>119</xdr:row>
      <xdr:rowOff>0</xdr:rowOff>
    </xdr:from>
    <xdr:to>
      <xdr:col>11</xdr:col>
      <xdr:colOff>618105</xdr:colOff>
      <xdr:row>144</xdr:row>
      <xdr:rowOff>56607</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0402550"/>
          <a:ext cx="8161905" cy="43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15</xdr:col>
      <xdr:colOff>313000</xdr:colOff>
      <xdr:row>35</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0"/>
          <a:ext cx="10600000" cy="5314286"/>
        </a:xfrm>
        <a:prstGeom prst="rect">
          <a:avLst/>
        </a:prstGeom>
      </xdr:spPr>
    </xdr:pic>
    <xdr:clientData/>
  </xdr:twoCellAnchor>
  <xdr:twoCellAnchor editAs="oneCell">
    <xdr:from>
      <xdr:col>0</xdr:col>
      <xdr:colOff>0</xdr:colOff>
      <xdr:row>37</xdr:row>
      <xdr:rowOff>0</xdr:rowOff>
    </xdr:from>
    <xdr:to>
      <xdr:col>13</xdr:col>
      <xdr:colOff>103648</xdr:colOff>
      <xdr:row>68</xdr:row>
      <xdr:rowOff>104098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9019048" cy="5419048"/>
        </a:xfrm>
        <a:prstGeom prst="rect">
          <a:avLst/>
        </a:prstGeom>
      </xdr:spPr>
    </xdr:pic>
    <xdr:clientData/>
  </xdr:twoCellAnchor>
  <xdr:twoCellAnchor editAs="oneCell">
    <xdr:from>
      <xdr:col>0</xdr:col>
      <xdr:colOff>0</xdr:colOff>
      <xdr:row>69</xdr:row>
      <xdr:rowOff>0</xdr:rowOff>
    </xdr:from>
    <xdr:to>
      <xdr:col>13</xdr:col>
      <xdr:colOff>113171</xdr:colOff>
      <xdr:row>91</xdr:row>
      <xdr:rowOff>56671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9028571" cy="3828571"/>
        </a:xfrm>
        <a:prstGeom prst="rect">
          <a:avLst/>
        </a:prstGeom>
      </xdr:spPr>
    </xdr:pic>
    <xdr:clientData/>
  </xdr:twoCellAnchor>
  <xdr:twoCellAnchor editAs="oneCell">
    <xdr:from>
      <xdr:col>0</xdr:col>
      <xdr:colOff>0</xdr:colOff>
      <xdr:row>96</xdr:row>
      <xdr:rowOff>0</xdr:rowOff>
    </xdr:from>
    <xdr:to>
      <xdr:col>14</xdr:col>
      <xdr:colOff>560705</xdr:colOff>
      <xdr:row>119</xdr:row>
      <xdr:rowOff>37602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459200"/>
          <a:ext cx="10161905" cy="3980952"/>
        </a:xfrm>
        <a:prstGeom prst="rect">
          <a:avLst/>
        </a:prstGeom>
      </xdr:spPr>
    </xdr:pic>
    <xdr:clientData/>
  </xdr:twoCellAnchor>
  <xdr:twoCellAnchor editAs="oneCell">
    <xdr:from>
      <xdr:col>0</xdr:col>
      <xdr:colOff>0</xdr:colOff>
      <xdr:row>120</xdr:row>
      <xdr:rowOff>0</xdr:rowOff>
    </xdr:from>
    <xdr:to>
      <xdr:col>15</xdr:col>
      <xdr:colOff>579667</xdr:colOff>
      <xdr:row>144</xdr:row>
      <xdr:rowOff>56629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10866667" cy="4171429"/>
        </a:xfrm>
        <a:prstGeom prst="rect">
          <a:avLst/>
        </a:prstGeom>
      </xdr:spPr>
    </xdr:pic>
    <xdr:clientData/>
  </xdr:twoCellAnchor>
  <xdr:twoCellAnchor editAs="oneCell">
    <xdr:from>
      <xdr:col>0</xdr:col>
      <xdr:colOff>0</xdr:colOff>
      <xdr:row>150</xdr:row>
      <xdr:rowOff>0</xdr:rowOff>
    </xdr:from>
    <xdr:to>
      <xdr:col>16</xdr:col>
      <xdr:colOff>17676</xdr:colOff>
      <xdr:row>172</xdr:row>
      <xdr:rowOff>113814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717500"/>
          <a:ext cx="10990476" cy="3885714"/>
        </a:xfrm>
        <a:prstGeom prst="rect">
          <a:avLst/>
        </a:prstGeom>
      </xdr:spPr>
    </xdr:pic>
    <xdr:clientData/>
  </xdr:twoCellAnchor>
  <xdr:twoCellAnchor editAs="oneCell">
    <xdr:from>
      <xdr:col>0</xdr:col>
      <xdr:colOff>0</xdr:colOff>
      <xdr:row>173</xdr:row>
      <xdr:rowOff>0</xdr:rowOff>
    </xdr:from>
    <xdr:to>
      <xdr:col>12</xdr:col>
      <xdr:colOff>570400</xdr:colOff>
      <xdr:row>204</xdr:row>
      <xdr:rowOff>161240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9660850"/>
          <a:ext cx="8800000" cy="5476190"/>
        </a:xfrm>
        <a:prstGeom prst="rect">
          <a:avLst/>
        </a:prstGeom>
      </xdr:spPr>
    </xdr:pic>
    <xdr:clientData/>
  </xdr:twoCellAnchor>
  <xdr:twoCellAnchor editAs="oneCell">
    <xdr:from>
      <xdr:col>0</xdr:col>
      <xdr:colOff>0</xdr:colOff>
      <xdr:row>205</xdr:row>
      <xdr:rowOff>0</xdr:rowOff>
    </xdr:from>
    <xdr:to>
      <xdr:col>10</xdr:col>
      <xdr:colOff>380095</xdr:colOff>
      <xdr:row>229</xdr:row>
      <xdr:rowOff>94724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5147250"/>
          <a:ext cx="7238095" cy="4209524"/>
        </a:xfrm>
        <a:prstGeom prst="rect">
          <a:avLst/>
        </a:prstGeom>
      </xdr:spPr>
    </xdr:pic>
    <xdr:clientData/>
  </xdr:twoCellAnchor>
  <xdr:twoCellAnchor editAs="oneCell">
    <xdr:from>
      <xdr:col>0</xdr:col>
      <xdr:colOff>0</xdr:colOff>
      <xdr:row>233</xdr:row>
      <xdr:rowOff>0</xdr:rowOff>
    </xdr:from>
    <xdr:to>
      <xdr:col>9</xdr:col>
      <xdr:colOff>75419</xdr:colOff>
      <xdr:row>264</xdr:row>
      <xdr:rowOff>170764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9947850"/>
          <a:ext cx="6247619" cy="5485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208667</xdr:colOff>
      <xdr:row>20</xdr:row>
      <xdr:rowOff>37667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66667" cy="3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fc/E64i"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ghhzrzy.tj.gov.cn/zwgk_143/zcwj/jjzcwj/202012/t20201213_4963401.html" TargetMode="External"/><Relationship Id="rId1" Type="http://schemas.openxmlformats.org/officeDocument/2006/relationships/hyperlink" Target="https://zfcxjs.tj.gov.cn/xxgk_70/zcwj/wfwj/202012/t20201203_4308724.html"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tianjin.chinatax.gov.cn/11200000000/0300/030005/20220607153906864.shtml" TargetMode="External"/><Relationship Id="rId2" Type="http://schemas.openxmlformats.org/officeDocument/2006/relationships/hyperlink" Target="https://www.tj.gov.cn/zwgk/zfxxgkzl/zlzc/zlgz/202111/t20211118_5712232.html" TargetMode="External"/><Relationship Id="rId1" Type="http://schemas.openxmlformats.org/officeDocument/2006/relationships/hyperlink" Target="https://www.tjbc.gov.cn/zwgk/zcwj/qzfwj/202012/t20201230_5250293.html" TargetMode="External"/><Relationship Id="rId5" Type="http://schemas.openxmlformats.org/officeDocument/2006/relationships/drawing" Target="../drawings/drawing6.xml"/><Relationship Id="rId4"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天津市北辰区万河路55号“京东智能产业园天津北辰”项目非居住用房房地产抵押价值预评估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受贵公司委托，我公司对天津市北辰区万河路55号“京东智能产业园天津北辰”项目非居住用房房地产抵押价值进行了预评估。</v>
      </c>
    </row>
    <row r="7" spans="1:2" s="1202" customFormat="1">
      <c r="A7" s="1200" t="s">
        <v>566</v>
      </c>
      <c r="B7" s="1201" t="str">
        <f>'预评函-1'!A7</f>
        <v>估价对象为天津市北辰区万河路55号“京东智能产业园天津北辰”项目非居住用房房地产，为所有。根据《国有土地使用证》[]，估价对象（分摊）出让国有建设用地使用权面积为242044.6平方米，建筑面积为270951.54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天津市北辰区万河路55号“京东智能产业园天津北辰”项目非居住用房房地产,属开发建设的工业项目，该项目尚在开发建设中。根据《国有土地使用证》[]，估价对象（分摊）出让国有建设用地使用权面积为242044.6平方米，规划建筑面积为270951.54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天津市北辰区万河路55号“京东智能产业园天津北辰”项目非居住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2024年9月5日（评估专业人员实地查勘之日）</v>
      </c>
    </row>
    <row r="13" spans="1:2" s="1202" customFormat="1">
      <c r="A13" s="1200" t="s">
        <v>529</v>
      </c>
      <c r="B13" s="1201" t="str">
        <f>'预评函-1'!A18</f>
        <v>本次估价的“房地产价值”是指在正常市场情况下，在价值时点2024年9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106839</v>
      </c>
    </row>
    <row r="21" spans="1:2" s="1202" customFormat="1">
      <c r="A21" s="1200" t="s">
        <v>537</v>
      </c>
      <c r="B21" s="1201">
        <f ca="1">'预评函-2'!D7</f>
        <v>3943</v>
      </c>
    </row>
    <row r="22" spans="1:2" s="1202" customFormat="1">
      <c r="A22" s="1200" t="s">
        <v>538</v>
      </c>
      <c r="B22" s="1201" t="str">
        <f ca="1">'预评函-2'!D6</f>
        <v>壹拾亿陆仟捌佰叁拾玖万元整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106839</v>
      </c>
    </row>
    <row r="31" spans="1:2" s="1202" customFormat="1">
      <c r="A31" s="1200" t="s">
        <v>576</v>
      </c>
      <c r="B31" s="1201">
        <f ca="1">'预评函-2'!D15</f>
        <v>3943</v>
      </c>
    </row>
    <row r="32" spans="1:2" s="1202" customFormat="1">
      <c r="A32" s="1200" t="s">
        <v>543</v>
      </c>
      <c r="B32" s="1201" t="str">
        <f ca="1">'预评函-2'!D14</f>
        <v>壹拾亿陆仟捌佰叁拾玖万元整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天津市北辰区万河路55号“京东智能产业园天津北辰”项目非居住用房房地产</v>
      </c>
    </row>
    <row r="42" spans="1:2" s="1202" customFormat="1">
      <c r="A42" s="1200" t="s">
        <v>590</v>
      </c>
      <c r="B42" s="1201" t="str">
        <f>'预评函-3'!B2</f>
        <v>建筑面积</v>
      </c>
    </row>
    <row r="43" spans="1:2" s="1202" customFormat="1">
      <c r="A43" s="1200" t="s">
        <v>591</v>
      </c>
      <c r="B43" s="1201">
        <f>'预评函-3'!B4</f>
        <v>270951.53999999998</v>
      </c>
    </row>
    <row r="44" spans="1:2" s="1202" customFormat="1">
      <c r="A44" s="1200" t="s">
        <v>575</v>
      </c>
      <c r="B44" s="1201" t="str">
        <f>'预评函-3'!C2</f>
        <v>(分摊)土地面积</v>
      </c>
    </row>
    <row r="45" spans="1:2" s="1202" customFormat="1">
      <c r="A45" s="1200" t="s">
        <v>547</v>
      </c>
      <c r="B45" s="1201">
        <f>'预评函-3'!C4</f>
        <v>242044.6</v>
      </c>
    </row>
    <row r="46" spans="1:2" s="1202" customFormat="1">
      <c r="A46" s="1200" t="s">
        <v>573</v>
      </c>
      <c r="B46" s="1201" t="str">
        <f>'预评函-3'!D2</f>
        <v>出让国有建设用地使用权价值</v>
      </c>
    </row>
    <row r="47" spans="1:2" s="1202" customFormat="1">
      <c r="A47" s="1200" t="s">
        <v>548</v>
      </c>
      <c r="B47" s="1201">
        <f ca="1">'预评函-3'!D4</f>
        <v>14677</v>
      </c>
    </row>
    <row r="48" spans="1:2" s="1202" customFormat="1">
      <c r="A48" s="1200" t="s">
        <v>549</v>
      </c>
      <c r="B48" s="1201">
        <f ca="1">'预评函-3'!E4</f>
        <v>542</v>
      </c>
    </row>
    <row r="49" spans="1:2" s="1202" customFormat="1">
      <c r="A49" s="1200" t="s">
        <v>550</v>
      </c>
      <c r="B49" s="1201" t="str">
        <f ca="1">'预评函-3'!D5</f>
        <v>壹亿肆仟陆佰柒拾柒万元整</v>
      </c>
    </row>
    <row r="50" spans="1:2" s="1202" customFormat="1">
      <c r="A50" s="1200" t="s">
        <v>574</v>
      </c>
      <c r="B50" s="1201" t="str">
        <f>'预评函-3'!F2</f>
        <v>建筑物价值</v>
      </c>
    </row>
    <row r="51" spans="1:2" s="1202" customFormat="1">
      <c r="A51" s="1200" t="s">
        <v>551</v>
      </c>
      <c r="B51" s="1201">
        <f ca="1">'预评函-3'!F4</f>
        <v>92162</v>
      </c>
    </row>
    <row r="52" spans="1:2" s="1202" customFormat="1">
      <c r="A52" s="1200" t="s">
        <v>552</v>
      </c>
      <c r="B52" s="1201">
        <f ca="1">'预评函-3'!G4</f>
        <v>3401</v>
      </c>
    </row>
    <row r="53" spans="1:2" s="1202" customFormat="1">
      <c r="A53" s="1200" t="s">
        <v>580</v>
      </c>
      <c r="B53" s="1201" t="str">
        <f ca="1">'预评函-3'!F5</f>
        <v>玖亿贰仟壹佰陆拾贰万元整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2575</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2576</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2289</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北辰区万河路55号“京东智能产业园天津北辰”项目非居住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1"/>
      <c r="B54" s="1552" t="s">
        <v>385</v>
      </c>
      <c r="C54" s="1549" t="s">
        <v>583</v>
      </c>
    </row>
    <row r="55" spans="1:4">
      <c r="A55" s="3561"/>
      <c r="B55" s="1552" t="s">
        <v>386</v>
      </c>
      <c r="C55" s="1549" t="s">
        <v>584</v>
      </c>
    </row>
    <row r="56" spans="1:4">
      <c r="A56" s="3561"/>
      <c r="B56" s="1552" t="s">
        <v>387</v>
      </c>
      <c r="C56" s="1549" t="s">
        <v>588</v>
      </c>
    </row>
    <row r="57" spans="1:4">
      <c r="A57" s="356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2" sqref="D12"/>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62" t="s">
        <v>2578</v>
      </c>
      <c r="J2" s="3562"/>
      <c r="K2" s="3562"/>
      <c r="L2" s="3562"/>
      <c r="M2" s="3562"/>
      <c r="N2" s="3562"/>
      <c r="O2" s="3562"/>
      <c r="P2" s="3562"/>
      <c r="Q2" s="3562"/>
      <c r="R2" s="3562"/>
    </row>
    <row r="3" spans="1:18">
      <c r="A3" s="3016" t="s">
        <v>2499</v>
      </c>
      <c r="B3" s="3017">
        <f>项目基本情况!D3</f>
        <v>45540</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2.2799999999999998</v>
      </c>
      <c r="D5" s="3021">
        <f>IF(ISERROR(ROUND(POWER(1+E5,A5-C5)*(POWER(1+E5,C5)-1)/(POWER(1+E5,A5)-1),3)),0,ROUND(POWER(1+E5,A5-C5)*(POWER(1+E5,C5)-1)/(POWER(1+E5,A5)-1),4))</f>
        <v>0.1153</v>
      </c>
      <c r="E5" s="3022">
        <f>'数据-取费表'!H6</f>
        <v>4.4999999999999998E-2</v>
      </c>
      <c r="F5" s="3015"/>
      <c r="I5" s="3435" t="s">
        <v>2580</v>
      </c>
      <c r="J5" s="3435">
        <v>70</v>
      </c>
      <c r="K5" s="3435">
        <v>60</v>
      </c>
      <c r="L5" s="3435">
        <v>15</v>
      </c>
      <c r="M5" s="3435">
        <v>25</v>
      </c>
      <c r="N5" s="3019">
        <v>40</v>
      </c>
      <c r="O5" s="3019">
        <v>50</v>
      </c>
      <c r="P5" s="3019">
        <v>40</v>
      </c>
      <c r="Q5" s="3019">
        <v>15</v>
      </c>
      <c r="R5" s="3019">
        <v>315</v>
      </c>
    </row>
    <row r="6" spans="1:18">
      <c r="A6" s="3020">
        <v>50</v>
      </c>
      <c r="B6" s="3017">
        <f>项目基本情况!H13</f>
        <v>62562</v>
      </c>
      <c r="C6" s="3019">
        <f>ROUNDDOWN(MIN((B6-B3)/365,A6),2)</f>
        <v>46.63</v>
      </c>
      <c r="D6" s="3021">
        <f>IF(ISERROR(ROUND(POWER(1+E6,A6-C6)*(POWER(1+E6,C6)-1)/(POWER(1+E6,A6)-1),3)),0,ROUND(POWER(1+E6,A6-C6)*(POWER(1+E6,C6)-1)/(POWER(1+E6,A6)-1),4))</f>
        <v>0.98009999999999997</v>
      </c>
      <c r="E6" s="3022">
        <f>E5</f>
        <v>4.4999999999999998E-2</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32.299999999999997</v>
      </c>
      <c r="D7" s="3021">
        <f>IF(ISERROR(ROUND(POWER(1+E7,A7-C7)*(POWER(1+E7,C7)-1)/(POWER(1+E7,A7)-1),3)),0,ROUND(POWER(1+E7,A7-C7)*(POWER(1+E7,C7)-1)/(POWER(1+E7,A7)-1),4))</f>
        <v>0.79520000000000002</v>
      </c>
      <c r="E7" s="3022">
        <f>E5</f>
        <v>4.4999999999999998E-2</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50</v>
      </c>
      <c r="C11" s="3019" t="s">
        <v>2508</v>
      </c>
      <c r="D11" s="3025">
        <f>'数据-取费表'!H6</f>
        <v>4.4999999999999998E-2</v>
      </c>
      <c r="E11" s="3019" t="s">
        <v>2509</v>
      </c>
      <c r="F11" s="3026">
        <f>ROUND(1-(1/(POWER(1+D11,B11))),4)</f>
        <v>0.88929999999999998</v>
      </c>
      <c r="G11" s="3471" t="s">
        <v>3485</v>
      </c>
    </row>
    <row r="12" spans="1:18">
      <c r="A12" s="3016" t="s">
        <v>2510</v>
      </c>
      <c r="B12" s="3024">
        <v>20</v>
      </c>
      <c r="C12" s="3019" t="s">
        <v>2511</v>
      </c>
      <c r="D12" s="3025">
        <f>D11</f>
        <v>4.4999999999999998E-2</v>
      </c>
      <c r="E12" s="3019" t="s">
        <v>2512</v>
      </c>
      <c r="F12" s="3026">
        <f>ROUND(1-(1/(POWER(1+D12,B12))),4)</f>
        <v>0.58540000000000003</v>
      </c>
      <c r="G12" s="3471" t="s">
        <v>3486</v>
      </c>
    </row>
    <row r="13" spans="1:18">
      <c r="A13" s="3016" t="s">
        <v>2513</v>
      </c>
      <c r="B13" s="3019"/>
      <c r="C13" s="3019"/>
      <c r="D13" s="3014"/>
      <c r="E13" s="3014"/>
      <c r="F13" s="3015"/>
      <c r="G13" s="3472"/>
    </row>
    <row r="14" spans="1:18">
      <c r="A14" s="3016" t="s">
        <v>2514</v>
      </c>
      <c r="B14" s="3024"/>
      <c r="C14" s="3018"/>
      <c r="D14" s="3014"/>
      <c r="E14" s="3014"/>
      <c r="F14" s="3015"/>
      <c r="G14" s="3472"/>
    </row>
    <row r="15" spans="1:18">
      <c r="A15" s="3016" t="s">
        <v>2515</v>
      </c>
      <c r="B15" s="3019">
        <f>ROUND(B14*F12/F11,2)</f>
        <v>0</v>
      </c>
      <c r="C15" s="3019">
        <f>ROUND(F12/F11,4)</f>
        <v>0.6583</v>
      </c>
      <c r="D15" s="3014"/>
      <c r="E15" s="3014"/>
      <c r="F15" s="3015"/>
      <c r="G15" s="3473"/>
    </row>
    <row r="16" spans="1:18">
      <c r="A16" s="3016" t="s">
        <v>2516</v>
      </c>
      <c r="B16" s="3019"/>
      <c r="C16" s="3019"/>
      <c r="D16" s="3014"/>
      <c r="E16" s="3014"/>
      <c r="F16" s="3015"/>
      <c r="G16" s="3473"/>
    </row>
    <row r="17" spans="1:13">
      <c r="A17" s="3016" t="s">
        <v>2515</v>
      </c>
      <c r="B17" s="3025"/>
      <c r="C17" s="3018"/>
      <c r="D17" s="3014"/>
      <c r="E17" s="3014"/>
      <c r="F17" s="3015"/>
      <c r="G17" s="3471" t="s">
        <v>3487</v>
      </c>
    </row>
    <row r="18" spans="1:13" ht="14.25" thickBot="1">
      <c r="A18" s="3027" t="s">
        <v>2514</v>
      </c>
      <c r="B18" s="3028">
        <f>ROUND(B17*F11/F12,2)</f>
        <v>0</v>
      </c>
      <c r="C18" s="3028">
        <f>ROUND(F11/F12,4)</f>
        <v>1.5190999999999999</v>
      </c>
      <c r="D18" s="3029"/>
      <c r="E18" s="3029"/>
      <c r="F18" s="3030"/>
      <c r="G18" s="3471" t="s">
        <v>3488</v>
      </c>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2.75"/>
  <cols>
    <col min="1" max="1" width="16.875" style="1743" customWidth="1"/>
    <col min="2" max="2" width="10" style="1743" customWidth="1"/>
    <col min="3" max="3" width="11.5" style="1743" customWidth="1"/>
    <col min="4" max="4" width="12.25"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2164</v>
      </c>
      <c r="B1" s="3571" t="str">
        <f>IF(B10="北京市","北京市",C10)&amp;F10&amp;IF(结果表!G1="在建","出让国有建设用地使用权及在建建筑物",IF(结果表!G1="土地","出让国有建设用地使用权",))&amp;B9&amp;"预评估"</f>
        <v>天津市北辰区万河路55号“京东智能产业园天津北辰”项目非居住用房房地产抵押价值预评估</v>
      </c>
      <c r="C1" s="3572"/>
      <c r="D1" s="3572"/>
      <c r="E1" s="3572"/>
      <c r="F1" s="3572"/>
      <c r="G1" s="3572"/>
      <c r="H1" s="3572"/>
      <c r="I1" s="3573"/>
      <c r="J1" s="2467"/>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天津市北辰区万河路55号“京东智能产业园天津北辰”项目非居住用房房地产抵押价值</v>
      </c>
      <c r="T1" s="1743"/>
      <c r="U1" s="1743"/>
      <c r="V1" s="1743"/>
      <c r="W1" s="1743"/>
      <c r="X1" s="1743"/>
      <c r="Y1" s="1743"/>
      <c r="Z1" s="1743"/>
      <c r="AA1" s="1743"/>
      <c r="AB1" s="1743"/>
    </row>
    <row r="2" spans="1:30">
      <c r="A2" s="2364" t="s">
        <v>2165</v>
      </c>
      <c r="B2" s="2368"/>
      <c r="C2" s="2369"/>
      <c r="D2" s="2666"/>
      <c r="E2" s="2658"/>
      <c r="F2" s="2658"/>
      <c r="G2" s="2659"/>
      <c r="H2" s="2659"/>
      <c r="I2" s="2659"/>
      <c r="J2" s="2467"/>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天津市北辰区万河路55号“京东智能产业园天津北辰”项目非居住用房房地产</v>
      </c>
      <c r="T2" s="1743"/>
      <c r="U2" s="1743"/>
      <c r="V2" s="1743"/>
      <c r="W2" s="1743"/>
      <c r="X2" s="1743"/>
      <c r="Y2" s="1743"/>
      <c r="Z2" s="1743"/>
      <c r="AA2" s="1743"/>
      <c r="AB2" s="1743"/>
    </row>
    <row r="3" spans="1:30">
      <c r="A3" s="302" t="s">
        <v>2166</v>
      </c>
      <c r="B3" s="2370">
        <v>45540</v>
      </c>
      <c r="C3" s="2371" t="s">
        <v>2167</v>
      </c>
      <c r="D3" s="2370">
        <f>B3</f>
        <v>45540</v>
      </c>
      <c r="E3" s="2659"/>
      <c r="F3" s="2659"/>
      <c r="G3" s="2659"/>
      <c r="H3" s="2659"/>
      <c r="I3" s="2659"/>
      <c r="J3" s="2467"/>
      <c r="K3" s="2365"/>
      <c r="L3" s="2366"/>
      <c r="M3" s="2366"/>
      <c r="N3" s="2367"/>
      <c r="O3" s="1574"/>
      <c r="P3" s="2367"/>
      <c r="Q3" s="2367"/>
      <c r="R3" s="2367"/>
      <c r="S3" s="1680"/>
      <c r="T3" s="1743"/>
      <c r="U3" s="1743"/>
      <c r="V3" s="1743"/>
      <c r="W3" s="1743"/>
      <c r="X3" s="1743"/>
      <c r="Y3" s="1743"/>
      <c r="Z3" s="1743"/>
      <c r="AA3" s="1743"/>
      <c r="AB3" s="1743"/>
    </row>
    <row r="4" spans="1:30" ht="13.5" thickBot="1">
      <c r="A4" s="1090" t="s">
        <v>2168</v>
      </c>
      <c r="B4" s="2372" t="s">
        <v>3790</v>
      </c>
      <c r="C4" s="2373">
        <f ca="1">SUMIF(注册房地产估价师,B4,估价师及机构信息!B3:B24)</f>
        <v>1419970001</v>
      </c>
      <c r="D4" s="2372" t="s">
        <v>3791</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5"/>
      <c r="K4" s="2375" t="str">
        <f ca="1">CONCATENATE(B4,"（注册号：",C4,")、",D4,"（注册号：",E4,")")</f>
        <v>吴薇（注册号：1419970001)、郑燚（注册号：1120070131)</v>
      </c>
      <c r="L4" s="2366"/>
      <c r="M4" s="2366"/>
      <c r="N4" s="2367"/>
      <c r="O4" s="1574"/>
      <c r="P4" s="2367"/>
      <c r="Q4" s="2367"/>
      <c r="R4" s="2367"/>
      <c r="S4" s="1680"/>
      <c r="T4" s="1743"/>
      <c r="U4" s="1743"/>
      <c r="V4" s="1743"/>
      <c r="W4" s="1743"/>
      <c r="X4" s="1743"/>
      <c r="Y4" s="1743"/>
      <c r="Z4" s="1743"/>
      <c r="AA4" s="1743"/>
      <c r="AB4" s="1743"/>
    </row>
    <row r="5" spans="1:30" ht="13.5" thickTop="1">
      <c r="A5" s="2376" t="s">
        <v>2169</v>
      </c>
      <c r="B5" s="2377"/>
      <c r="C5" s="2378"/>
      <c r="D5" s="2379"/>
      <c r="E5" s="2660"/>
      <c r="F5" s="2660"/>
      <c r="G5" s="2660"/>
      <c r="H5" s="2660"/>
      <c r="I5" s="2660"/>
      <c r="J5" s="2435"/>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2170</v>
      </c>
      <c r="B6" s="2381"/>
      <c r="C6" s="2382"/>
      <c r="D6" s="2383"/>
      <c r="E6" s="2658"/>
      <c r="F6" s="2660"/>
      <c r="G6" s="2660"/>
      <c r="H6" s="2660"/>
      <c r="I6" s="2660"/>
      <c r="J6" s="2435"/>
      <c r="K6" s="2611" t="str">
        <f>IF(COUNTIF(B6,"*上海银行*"),"上海银行","")</f>
        <v/>
      </c>
      <c r="L6" s="2609"/>
      <c r="M6" s="2609"/>
      <c r="N6" s="2435"/>
      <c r="O6" s="2446"/>
      <c r="P6" s="2435"/>
      <c r="Q6" s="2435"/>
      <c r="R6" s="2435"/>
    </row>
    <row r="7" spans="1:30">
      <c r="A7" s="2380" t="s">
        <v>2171</v>
      </c>
      <c r="B7" s="2384"/>
      <c r="C7" s="2382"/>
      <c r="D7" s="2383"/>
      <c r="E7" s="2658"/>
      <c r="F7" s="2660"/>
      <c r="G7" s="2660"/>
      <c r="H7" s="2660"/>
      <c r="I7" s="2660"/>
      <c r="J7" s="2435"/>
      <c r="K7" s="2612"/>
      <c r="L7" s="2609"/>
      <c r="M7" s="2609"/>
      <c r="N7" s="2435"/>
      <c r="O7" s="2446"/>
      <c r="P7" s="2435"/>
      <c r="Q7" s="2435"/>
      <c r="R7" s="2435"/>
    </row>
    <row r="8" spans="1:30">
      <c r="A8" s="2385" t="s">
        <v>2172</v>
      </c>
      <c r="B8" s="2386" t="s">
        <v>3381</v>
      </c>
      <c r="C8" s="2387"/>
      <c r="D8" s="3574" t="s">
        <v>2173</v>
      </c>
      <c r="E8" s="2388" t="s">
        <v>3382</v>
      </c>
      <c r="F8" s="2389"/>
      <c r="G8" s="2659"/>
      <c r="H8" s="2659"/>
      <c r="I8" s="2659"/>
      <c r="J8" s="2435"/>
      <c r="K8" s="2610"/>
      <c r="L8" s="2609"/>
      <c r="M8" s="2609"/>
      <c r="N8" s="2435"/>
      <c r="O8" s="2446"/>
      <c r="P8" s="2435"/>
      <c r="Q8" s="2435"/>
      <c r="R8" s="2435"/>
    </row>
    <row r="9" spans="1:30" ht="13.5" thickBot="1">
      <c r="A9" s="2390" t="s">
        <v>2174</v>
      </c>
      <c r="B9" s="2391" t="s">
        <v>3382</v>
      </c>
      <c r="C9" s="2392"/>
      <c r="D9" s="3575"/>
      <c r="E9" s="2391"/>
      <c r="F9" s="2393"/>
      <c r="G9" s="2661"/>
      <c r="H9" s="2661"/>
      <c r="I9" s="2661"/>
      <c r="J9" s="2435"/>
      <c r="K9" s="2612"/>
      <c r="L9" s="2609"/>
      <c r="M9" s="2609"/>
      <c r="N9" s="2435"/>
      <c r="O9" s="2446"/>
      <c r="P9" s="2435"/>
      <c r="Q9" s="2435"/>
      <c r="R9" s="2435"/>
    </row>
    <row r="10" spans="1:30" ht="13.5" thickTop="1">
      <c r="A10" s="2394" t="s">
        <v>2175</v>
      </c>
      <c r="B10" s="2395"/>
      <c r="C10" s="3445" t="s">
        <v>3385</v>
      </c>
      <c r="D10" s="2379"/>
      <c r="E10" s="2396" t="s">
        <v>2176</v>
      </c>
      <c r="F10" s="2662" t="s">
        <v>3763</v>
      </c>
      <c r="G10" s="2663"/>
      <c r="H10" s="2664"/>
      <c r="I10" s="2665"/>
      <c r="J10" s="2435"/>
      <c r="K10" s="2612"/>
      <c r="L10" s="2609"/>
      <c r="M10" s="2609"/>
      <c r="N10" s="2435"/>
      <c r="O10" s="2446"/>
      <c r="P10" s="2435"/>
      <c r="Q10" s="2435"/>
      <c r="R10" s="2435"/>
    </row>
    <row r="11" spans="1:30">
      <c r="A11" s="2397" t="s">
        <v>2177</v>
      </c>
      <c r="B11" s="2398" t="s">
        <v>3383</v>
      </c>
      <c r="C11" s="2399"/>
      <c r="D11" s="2400"/>
      <c r="E11" s="2367"/>
      <c r="F11" s="2367"/>
      <c r="G11" s="2367"/>
      <c r="H11" s="2367"/>
      <c r="I11" s="2367"/>
      <c r="J11" s="3057"/>
      <c r="K11" s="3056"/>
      <c r="L11" s="2609"/>
      <c r="M11" s="2609"/>
      <c r="N11" s="2435"/>
      <c r="O11" s="2446"/>
      <c r="P11" s="2435"/>
      <c r="Q11" s="2435"/>
      <c r="R11" s="2435"/>
    </row>
    <row r="12" spans="1:30">
      <c r="A12" s="2401" t="s">
        <v>2178</v>
      </c>
      <c r="B12" s="323" t="s">
        <v>2179</v>
      </c>
      <c r="C12" s="2402" t="s">
        <v>2180</v>
      </c>
      <c r="D12" s="2402" t="s">
        <v>2181</v>
      </c>
      <c r="E12" s="2402" t="s">
        <v>2182</v>
      </c>
      <c r="F12" s="2402" t="s">
        <v>2183</v>
      </c>
      <c r="G12" s="2402" t="s">
        <v>2184</v>
      </c>
      <c r="H12" s="2402" t="s">
        <v>2185</v>
      </c>
      <c r="I12" s="3055" t="s">
        <v>2574</v>
      </c>
      <c r="J12" s="3058"/>
      <c r="K12" s="2609"/>
      <c r="L12" s="2609"/>
      <c r="M12" s="2435"/>
      <c r="N12" s="2446"/>
      <c r="O12" s="2435"/>
      <c r="P12" s="2435"/>
      <c r="Q12" s="2435"/>
      <c r="AD12" s="1743"/>
    </row>
    <row r="13" spans="1:30">
      <c r="A13" s="3419" t="s">
        <v>3330</v>
      </c>
      <c r="B13" s="2403" t="s">
        <v>2186</v>
      </c>
      <c r="C13" s="856"/>
      <c r="D13" s="856"/>
      <c r="E13" s="856">
        <v>62562</v>
      </c>
      <c r="F13" s="856"/>
      <c r="G13" s="856">
        <v>62562</v>
      </c>
      <c r="H13" s="856">
        <v>62562</v>
      </c>
      <c r="I13" s="856"/>
      <c r="J13" s="3058"/>
      <c r="K13" s="2609"/>
      <c r="L13" s="2609"/>
      <c r="M13" s="2435"/>
      <c r="N13" s="2446"/>
      <c r="O13" s="2435"/>
      <c r="P13" s="2435"/>
      <c r="Q13" s="2435"/>
      <c r="AD13" s="1743"/>
    </row>
    <row r="14" spans="1:30">
      <c r="A14" s="1081"/>
      <c r="B14" s="2403" t="s">
        <v>2187</v>
      </c>
      <c r="C14" s="2404"/>
      <c r="D14" s="2404"/>
      <c r="E14" s="2404">
        <v>50</v>
      </c>
      <c r="F14" s="2404"/>
      <c r="G14" s="2404">
        <v>50</v>
      </c>
      <c r="H14" s="2404">
        <v>50</v>
      </c>
      <c r="I14" s="2404"/>
      <c r="J14" s="3059"/>
      <c r="K14" s="2609"/>
      <c r="L14" s="2609"/>
      <c r="M14" s="2435"/>
      <c r="N14" s="2446"/>
      <c r="O14" s="2435"/>
      <c r="P14" s="2435"/>
      <c r="Q14" s="2435"/>
      <c r="AD14" s="1743"/>
    </row>
    <row r="15" spans="1:30">
      <c r="A15" s="320"/>
      <c r="B15" s="2405" t="s">
        <v>2188</v>
      </c>
      <c r="C15" s="2406" t="str">
        <f>IF(A13="出让",IF(C13="","",ROUNDDOWN(MIN((C13-$D$3)/365,C14),2)),C14)</f>
        <v/>
      </c>
      <c r="D15" s="2406" t="str">
        <f>IF(A13="出让",IF(D13="","",ROUNDDOWN(MIN((D13-$D$3)/365,D14),2)),D14)</f>
        <v/>
      </c>
      <c r="E15" s="2406">
        <f>IF(A13="出让",IF(E13="","",ROUNDDOWN(MIN((E13-$D$3)/365,E14),2)),E14)</f>
        <v>46.63</v>
      </c>
      <c r="F15" s="2406" t="str">
        <f>IF(A13="出让",IF(F13="","",ROUNDDOWN(MIN((F13-$D$3)/365,F14),2)),F14)</f>
        <v/>
      </c>
      <c r="G15" s="2406">
        <f>IF(A13="出让",IF(G13="","",ROUNDDOWN(MIN((G13-$D$3)/365,G14),2)),G14)</f>
        <v>46.63</v>
      </c>
      <c r="H15" s="2406">
        <f>IF(A13="出让",IF(H13="","",ROUNDDOWN(MIN((H13-$D$3)/365,H14),2)),H14)</f>
        <v>46.63</v>
      </c>
      <c r="I15" s="2406" t="str">
        <f>IF(A13="出让",IF(I13="","",ROUNDDOWN(MIN((I13-$D$3)/365,I14),2)),I14)</f>
        <v/>
      </c>
      <c r="J15" s="3060"/>
      <c r="K15" s="2447"/>
      <c r="L15" s="2447"/>
      <c r="M15" s="2505"/>
      <c r="N15" s="2447"/>
      <c r="O15" s="2505"/>
      <c r="P15" s="2435"/>
      <c r="Q15" s="2435"/>
      <c r="AD15" s="1743"/>
    </row>
    <row r="16" spans="1:30">
      <c r="A16" s="2396" t="s">
        <v>2189</v>
      </c>
      <c r="B16" s="3581"/>
      <c r="C16" s="3582"/>
      <c r="D16" s="3583"/>
      <c r="E16" s="2409" t="s">
        <v>2190</v>
      </c>
      <c r="F16" s="3584"/>
      <c r="G16" s="3585"/>
      <c r="H16" s="3585"/>
      <c r="I16" s="3586"/>
      <c r="J16" s="2435"/>
      <c r="K16" s="2613"/>
      <c r="L16" s="2447"/>
      <c r="M16" s="2447"/>
      <c r="N16" s="2505"/>
      <c r="O16" s="2447"/>
      <c r="P16" s="2505"/>
      <c r="Q16" s="2435"/>
      <c r="R16" s="2435"/>
    </row>
    <row r="17" spans="1:28">
      <c r="A17" s="313" t="s">
        <v>2191</v>
      </c>
      <c r="B17" s="302" t="s">
        <v>2192</v>
      </c>
      <c r="C17" s="8">
        <f>'数据-汇总表'!E3</f>
        <v>270951.53999999998</v>
      </c>
      <c r="D17" s="2319" t="s">
        <v>2193</v>
      </c>
      <c r="E17" s="3587" t="s">
        <v>2194</v>
      </c>
      <c r="F17" s="3588"/>
      <c r="G17" s="3588"/>
      <c r="H17" s="3588"/>
      <c r="I17" s="3589"/>
      <c r="J17" s="2435"/>
      <c r="K17" s="2614"/>
      <c r="L17" s="2447"/>
      <c r="M17" s="2447"/>
      <c r="N17" s="2505"/>
      <c r="O17" s="2447"/>
      <c r="P17" s="2505"/>
      <c r="Q17" s="2435"/>
      <c r="R17" s="2435"/>
      <c r="S17" s="2435"/>
      <c r="T17" s="2435"/>
      <c r="U17" s="2435"/>
      <c r="V17" s="2435"/>
    </row>
    <row r="18" spans="1:28" ht="24.75" thickBot="1">
      <c r="A18" s="2410" t="s">
        <v>2195</v>
      </c>
      <c r="B18" s="1090" t="s">
        <v>2196</v>
      </c>
      <c r="C18" s="2411">
        <f>'数据-汇总表'!D3</f>
        <v>242044.6</v>
      </c>
      <c r="D18" s="1092" t="s">
        <v>2197</v>
      </c>
      <c r="E18" s="3590" t="s">
        <v>2198</v>
      </c>
      <c r="F18" s="3591"/>
      <c r="G18" s="3591"/>
      <c r="H18" s="3591"/>
      <c r="I18" s="3592"/>
      <c r="J18" s="2435"/>
      <c r="K18" s="2614"/>
      <c r="L18" s="2447"/>
      <c r="M18" s="2447"/>
      <c r="N18" s="2505"/>
      <c r="O18" s="2447"/>
      <c r="P18" s="2505"/>
      <c r="Q18" s="2435"/>
      <c r="R18" s="2435"/>
      <c r="S18" s="2435"/>
      <c r="T18" s="2435"/>
      <c r="U18" s="2435"/>
      <c r="V18" s="2435"/>
    </row>
    <row r="19" spans="1:28" ht="25.5" thickTop="1" thickBot="1">
      <c r="A19" s="327" t="s">
        <v>1055</v>
      </c>
      <c r="B19" s="307" t="s">
        <v>2199</v>
      </c>
      <c r="C19" s="1561"/>
      <c r="D19" s="1562" t="s">
        <v>2200</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2201</v>
      </c>
      <c r="B20" s="3577" t="s">
        <v>2202</v>
      </c>
      <c r="C20" s="3578"/>
      <c r="D20" s="3579" t="s">
        <v>2203</v>
      </c>
      <c r="E20" s="3580"/>
      <c r="F20" s="2643" t="s">
        <v>1056</v>
      </c>
      <c r="G20" s="2660"/>
      <c r="H20" s="2660"/>
      <c r="I20" s="2660"/>
      <c r="J20" s="2435"/>
      <c r="K20" s="3576"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3"/>
      <c r="X20" s="1743"/>
      <c r="Y20" s="1743"/>
      <c r="Z20" s="1743"/>
      <c r="AA20" s="1743"/>
      <c r="AB20" s="1743"/>
    </row>
    <row r="21" spans="1:28" ht="24.75" thickBot="1">
      <c r="A21" s="2628"/>
      <c r="B21" s="2629" t="s">
        <v>2205</v>
      </c>
      <c r="C21" s="2630" t="s">
        <v>1057</v>
      </c>
      <c r="D21" s="1566" t="s">
        <v>2206</v>
      </c>
      <c r="E21" s="2631" t="s">
        <v>1057</v>
      </c>
      <c r="F21" s="2644"/>
      <c r="G21" s="2660"/>
      <c r="H21" s="2660"/>
      <c r="I21" s="2660"/>
      <c r="J21" s="2435"/>
      <c r="K21" s="357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3"/>
      <c r="X21" s="1743"/>
      <c r="Y21" s="1743"/>
      <c r="Z21" s="1743"/>
      <c r="AA21" s="1743"/>
      <c r="AB21" s="1743"/>
    </row>
    <row r="22" spans="1:28" ht="24.75" thickBot="1">
      <c r="A22" s="2628"/>
      <c r="B22" s="2632" t="s">
        <v>2207</v>
      </c>
      <c r="C22" s="2630" t="s">
        <v>1058</v>
      </c>
      <c r="D22" s="2659"/>
      <c r="E22" s="2659"/>
      <c r="F22" s="2659"/>
      <c r="G22" s="2660"/>
      <c r="H22" s="2660"/>
      <c r="I22" s="2660"/>
      <c r="J22" s="2435"/>
      <c r="K22" s="357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3"/>
      <c r="X22" s="1743"/>
      <c r="Y22" s="1743"/>
      <c r="Z22" s="1743"/>
      <c r="AA22" s="1743"/>
      <c r="AB22" s="1743"/>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4" t="s">
        <v>2210</v>
      </c>
      <c r="B27" s="320" t="s">
        <v>2211</v>
      </c>
      <c r="C27" s="2412" t="s">
        <v>3386</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4"/>
      <c r="B28" s="302" t="s">
        <v>2212</v>
      </c>
      <c r="C28" s="2414" t="s">
        <v>3387</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4"/>
      <c r="B29" s="302" t="s">
        <v>2213</v>
      </c>
      <c r="C29" s="2416" t="s">
        <v>3388</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5"/>
      <c r="B30" s="302" t="s">
        <v>2214</v>
      </c>
      <c r="C30" s="3566"/>
      <c r="D30" s="3567"/>
      <c r="E30" s="2660"/>
      <c r="F30" s="2660"/>
      <c r="G30" s="2660"/>
      <c r="H30" s="2660"/>
      <c r="I30" s="2660"/>
      <c r="J30" s="2435"/>
      <c r="K30" s="2612"/>
      <c r="L30" s="2609"/>
      <c r="M30" s="2609"/>
      <c r="N30" s="2435"/>
      <c r="O30" s="2446"/>
      <c r="P30" s="2435"/>
      <c r="Q30" s="2435"/>
      <c r="R30" s="2435"/>
      <c r="S30" s="2435"/>
      <c r="T30" s="2435"/>
      <c r="U30" s="2435"/>
      <c r="V30" s="2435"/>
    </row>
    <row r="31" spans="1:28">
      <c r="A31" s="3568" t="s">
        <v>2215</v>
      </c>
      <c r="B31" s="2418" t="s">
        <v>3389</v>
      </c>
      <c r="C31" s="2320" t="str">
        <f>IF(B31="现房","成新及维护状况正常否",IF(B31="在建","工程状态是否正常",IF(B31="土地","是否闲置","-")))</f>
        <v>成新及维护状况正常否</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69"/>
      <c r="B32" s="2418"/>
      <c r="C32" s="2320"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69"/>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2" t="s">
        <v>2216</v>
      </c>
      <c r="B34" s="2023"/>
      <c r="C34" s="2023"/>
      <c r="D34" s="2023"/>
      <c r="E34" s="2023"/>
      <c r="F34" s="2023"/>
      <c r="G34" s="2023"/>
      <c r="H34" s="2023"/>
      <c r="I34" s="2660"/>
      <c r="J34" s="2435"/>
      <c r="K34" s="2423">
        <f>COUNTIF(B34:H34,"——")</f>
        <v>0</v>
      </c>
      <c r="L34" s="323" t="s">
        <v>2217</v>
      </c>
      <c r="M34" s="323" t="s">
        <v>2218</v>
      </c>
      <c r="N34" s="323" t="s">
        <v>2219</v>
      </c>
      <c r="O34" s="323" t="s">
        <v>2220</v>
      </c>
      <c r="P34" s="323" t="s">
        <v>2221</v>
      </c>
      <c r="Q34" s="323" t="s">
        <v>2222</v>
      </c>
      <c r="R34" s="323" t="s">
        <v>2223</v>
      </c>
      <c r="S34" s="3563" t="s">
        <v>2224</v>
      </c>
      <c r="T34" s="2424" t="str">
        <f>NUMBERSTRING(7-K34,1)&amp;"通"</f>
        <v>七通</v>
      </c>
      <c r="U34" s="2435"/>
      <c r="V34" s="2435"/>
    </row>
    <row r="35" spans="1:30">
      <c r="A35" s="2425"/>
      <c r="B35" s="3570" t="s">
        <v>2225</v>
      </c>
      <c r="C35" s="3570"/>
      <c r="D35" s="3570"/>
      <c r="E35" s="3570"/>
      <c r="F35" s="664" t="str">
        <f>C10</f>
        <v>天津市</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5"/>
      <c r="V35" s="2435"/>
    </row>
    <row r="36" spans="1:30">
      <c r="A36" s="2426"/>
      <c r="B36" s="664" t="s">
        <v>2181</v>
      </c>
      <c r="C36" s="664" t="s">
        <v>2182</v>
      </c>
      <c r="D36" s="664" t="s">
        <v>2180</v>
      </c>
      <c r="E36" s="664" t="s">
        <v>2185</v>
      </c>
      <c r="F36" s="3061" t="s">
        <v>2577</v>
      </c>
      <c r="G36" s="2660"/>
      <c r="H36" s="2660"/>
      <c r="I36" s="2660"/>
      <c r="J36" s="2435"/>
      <c r="K36" s="2612"/>
      <c r="L36" s="2609"/>
      <c r="M36" s="2609"/>
      <c r="N36" s="2435"/>
      <c r="O36" s="2446"/>
      <c r="P36" s="2435"/>
      <c r="Q36" s="2435"/>
      <c r="R36" s="2435"/>
      <c r="S36" s="2435"/>
      <c r="T36" s="2435"/>
      <c r="U36" s="2435"/>
      <c r="V36" s="2435"/>
    </row>
    <row r="37" spans="1:30">
      <c r="A37" s="2626" t="s">
        <v>2226</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6"/>
      <c r="J40" s="2505"/>
      <c r="K40" s="2611"/>
      <c r="L40" s="2447"/>
      <c r="M40" s="2447"/>
      <c r="N40" s="2505"/>
      <c r="O40" s="2447"/>
      <c r="P40" s="2435"/>
      <c r="Q40" s="2435"/>
      <c r="R40" s="2435"/>
      <c r="S40" s="2435"/>
      <c r="T40" s="2435"/>
      <c r="U40" s="2435"/>
      <c r="V40" s="2435"/>
    </row>
    <row r="41" spans="1:30">
      <c r="A41" s="2432" t="s">
        <v>2229</v>
      </c>
      <c r="B41" s="1755"/>
      <c r="C41" s="1371"/>
      <c r="D41" s="2367"/>
      <c r="E41" s="2367"/>
      <c r="F41" s="2367"/>
      <c r="G41" s="2367"/>
      <c r="H41" s="2367"/>
      <c r="I41" s="1574"/>
      <c r="J41" s="2435"/>
      <c r="K41" s="2612"/>
      <c r="L41" s="2609"/>
      <c r="M41" s="2609"/>
      <c r="N41" s="2435"/>
      <c r="O41" s="2446"/>
      <c r="P41" s="2435"/>
      <c r="Q41" s="2435"/>
      <c r="R41" s="2435"/>
      <c r="S41" s="2435"/>
      <c r="T41" s="2435"/>
      <c r="U41" s="2435"/>
      <c r="V41" s="2435"/>
    </row>
    <row r="42" spans="1:30" ht="25.5">
      <c r="A42" s="323"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41" customFormat="1">
      <c r="A43" s="1568"/>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1" customFormat="1">
      <c r="A44" s="1568"/>
      <c r="B44" s="1568"/>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1" customFormat="1">
      <c r="A45" s="1568"/>
      <c r="B45" s="1568"/>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1" customFormat="1">
      <c r="A46" s="1568"/>
      <c r="B46" s="1568"/>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1" customFormat="1">
      <c r="A47" s="1568"/>
      <c r="B47" s="1568"/>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1" customFormat="1">
      <c r="A48" s="1568"/>
      <c r="B48" s="1568"/>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1" customFormat="1">
      <c r="A49" s="1568"/>
      <c r="B49" s="1568"/>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1" customFormat="1">
      <c r="A50" s="1568"/>
      <c r="B50" s="1568"/>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1" customFormat="1">
      <c r="A51" s="1568"/>
      <c r="B51" s="1568"/>
      <c r="C51" s="1051"/>
      <c r="D51" s="1051"/>
      <c r="E51" s="1051"/>
      <c r="F51" s="1051"/>
      <c r="G51" s="1051"/>
      <c r="H51" s="1051"/>
      <c r="I51" s="1051"/>
      <c r="J51" s="2433"/>
      <c r="K51" s="2434"/>
      <c r="L51" s="2434"/>
      <c r="M51" s="1051"/>
      <c r="N51" s="1051"/>
      <c r="O51" s="1051"/>
      <c r="P51" s="1051"/>
      <c r="Q51" s="1051"/>
      <c r="R51" s="1051"/>
    </row>
    <row r="52" spans="1:22" s="1741" customFormat="1">
      <c r="A52" s="1568"/>
      <c r="B52" s="1568"/>
      <c r="C52" s="1568"/>
      <c r="D52" s="1568"/>
      <c r="E52" s="1568"/>
      <c r="F52" s="1051"/>
      <c r="G52" s="1568"/>
      <c r="H52" s="1568"/>
      <c r="I52" s="1568"/>
      <c r="J52" s="2436"/>
      <c r="K52" s="2434"/>
      <c r="L52" s="2434"/>
      <c r="M52" s="2434"/>
      <c r="N52" s="1568"/>
      <c r="O52" s="1568"/>
      <c r="P52" s="1568"/>
      <c r="Q52" s="1568"/>
      <c r="R52" s="1568"/>
    </row>
    <row r="53" spans="1:22" s="1741" customFormat="1">
      <c r="A53" s="1568"/>
      <c r="B53" s="1568"/>
      <c r="C53" s="1568"/>
      <c r="D53" s="1568"/>
      <c r="E53" s="1568"/>
      <c r="F53" s="1051"/>
      <c r="G53" s="1568"/>
      <c r="H53" s="1568"/>
      <c r="I53" s="1568"/>
      <c r="J53" s="2436"/>
      <c r="K53" s="2434"/>
      <c r="L53" s="2434"/>
      <c r="M53" s="2434"/>
      <c r="N53" s="1568"/>
      <c r="O53" s="1568"/>
      <c r="P53" s="1568"/>
      <c r="Q53" s="1568"/>
      <c r="R53" s="1568"/>
    </row>
    <row r="54" spans="1:22" s="1741" customFormat="1">
      <c r="A54" s="1568"/>
      <c r="B54" s="1568"/>
      <c r="C54" s="1568"/>
      <c r="D54" s="1568"/>
      <c r="E54" s="1568"/>
      <c r="F54" s="1051"/>
      <c r="G54" s="1568"/>
      <c r="H54" s="1568"/>
      <c r="I54" s="1568"/>
      <c r="J54" s="2436"/>
      <c r="K54" s="2434"/>
      <c r="L54" s="2434"/>
      <c r="M54" s="2434"/>
      <c r="N54" s="1568"/>
      <c r="O54" s="1568"/>
      <c r="P54" s="1568"/>
      <c r="Q54" s="1568"/>
      <c r="R54" s="1568"/>
    </row>
    <row r="55" spans="1:22" s="1741" customFormat="1">
      <c r="A55" s="1568"/>
      <c r="B55" s="1568"/>
      <c r="C55" s="1568"/>
      <c r="D55" s="1568"/>
      <c r="E55" s="1568"/>
      <c r="F55" s="1051"/>
      <c r="G55" s="1568"/>
      <c r="H55" s="1568"/>
      <c r="I55" s="1568"/>
      <c r="J55" s="2436"/>
      <c r="K55" s="2434"/>
      <c r="L55" s="2434"/>
      <c r="M55" s="2434"/>
      <c r="N55" s="1568"/>
      <c r="O55" s="1568"/>
      <c r="P55" s="1568"/>
      <c r="Q55" s="1568"/>
      <c r="R55" s="1568"/>
    </row>
    <row r="56" spans="1:22" s="1741" customFormat="1">
      <c r="A56" s="1568"/>
      <c r="B56" s="1568"/>
      <c r="C56" s="1568"/>
      <c r="D56" s="1568"/>
      <c r="E56" s="1568"/>
      <c r="F56" s="1051"/>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8" t="s">
        <v>1067</v>
      </c>
      <c r="AZ2" s="1049"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242044.6</v>
      </c>
      <c r="B3" s="11">
        <f>IF(C3="否",G5-AT5,G5)</f>
        <v>270951.53999999998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50"/>
      <c r="AZ3" s="1051"/>
      <c r="BA3" s="1052"/>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270951.53999999998</v>
      </c>
      <c r="H5" s="13">
        <f t="shared" ref="H5:AT5" si="0">SUM(H13:H656)</f>
        <v>270951.53999999998</v>
      </c>
      <c r="I5" s="13">
        <f t="shared" si="0"/>
        <v>270063.75999999995</v>
      </c>
      <c r="J5" s="13">
        <f t="shared" si="0"/>
        <v>0</v>
      </c>
      <c r="K5" s="13">
        <f t="shared" si="0"/>
        <v>887.78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270951.53999999998</v>
      </c>
      <c r="BA5" s="15">
        <f t="shared" si="1"/>
        <v>270951.53999999998</v>
      </c>
      <c r="BB5" s="15">
        <f t="shared" si="1"/>
        <v>270063.75999999995</v>
      </c>
      <c r="BC5" s="15">
        <f t="shared" si="1"/>
        <v>887.78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242044.6</v>
      </c>
      <c r="F6" s="13" t="s">
        <v>0</v>
      </c>
      <c r="G6" s="13" t="s">
        <v>1</v>
      </c>
      <c r="H6" s="17">
        <f>SUMIF(I$12:AB$12,"总值",I6:AB6)</f>
        <v>242044.6</v>
      </c>
      <c r="I6" s="13">
        <f t="shared" ref="I6:AB6" si="2">ROUND($A$3*I5/$B$3,2)</f>
        <v>241251.53</v>
      </c>
      <c r="J6" s="13">
        <f t="shared" si="2"/>
        <v>0</v>
      </c>
      <c r="K6" s="13">
        <f t="shared" si="2"/>
        <v>793.07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242044.6</v>
      </c>
      <c r="AZ6" s="13" t="s">
        <v>2</v>
      </c>
      <c r="BA6" s="13">
        <f>ROUND($AY$6*BA5/$AZ$5,2)</f>
        <v>242044.6</v>
      </c>
      <c r="BB6" s="13">
        <f>ROUND($AY$6*BB5/$AZ$5,2)</f>
        <v>241251.53</v>
      </c>
      <c r="BC6" s="13">
        <f t="shared" ref="BC6:BH6" si="4">ROUND($AY$6*BC5/$AZ$5,2)</f>
        <v>793.07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70" t="s">
        <v>1087</v>
      </c>
      <c r="AU8" s="1592" t="s">
        <v>1088</v>
      </c>
      <c r="AV8" s="1070"/>
      <c r="AW8" s="1575"/>
      <c r="AX8" s="1070"/>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70"/>
      <c r="H9" s="1600" t="s">
        <v>1091</v>
      </c>
      <c r="I9" s="1601" t="s">
        <v>3391</v>
      </c>
      <c r="J9" s="809"/>
      <c r="K9" s="1601" t="s">
        <v>3806</v>
      </c>
      <c r="L9" s="809"/>
      <c r="M9" s="1601"/>
      <c r="N9" s="809"/>
      <c r="O9" s="1601"/>
      <c r="P9" s="809"/>
      <c r="Q9" s="1601"/>
      <c r="R9" s="809"/>
      <c r="S9" s="1601"/>
      <c r="T9" s="809"/>
      <c r="U9" s="1601"/>
      <c r="V9" s="809"/>
      <c r="W9" s="1601"/>
      <c r="X9" s="1602"/>
      <c r="Y9" s="1601"/>
      <c r="Z9" s="809"/>
      <c r="AA9" s="1601"/>
      <c r="AB9" s="809"/>
      <c r="AC9" s="1593"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3"/>
      <c r="AT9" s="1592"/>
      <c r="AU9" s="1592" t="s">
        <v>1094</v>
      </c>
      <c r="AV9" s="1070"/>
      <c r="AW9" s="1575"/>
      <c r="AX9" s="1070"/>
      <c r="AY9" s="25"/>
      <c r="AZ9" s="25" t="s">
        <v>1084</v>
      </c>
      <c r="BA9" s="1604" t="s">
        <v>1095</v>
      </c>
      <c r="BB9" s="1605"/>
      <c r="BC9" s="1088"/>
      <c r="BD9" s="1088"/>
      <c r="BE9" s="1088"/>
      <c r="BF9" s="1088"/>
      <c r="BG9" s="1088"/>
      <c r="BH9" s="1088"/>
      <c r="BI9" s="1088"/>
      <c r="BJ9" s="1088"/>
      <c r="BK9" s="1606"/>
      <c r="BL9" s="12" t="s">
        <v>1096</v>
      </c>
      <c r="BM9" s="1358"/>
      <c r="BN9" s="1595"/>
      <c r="BO9" s="1358"/>
      <c r="BP9" s="1358"/>
      <c r="BQ9" s="1358"/>
      <c r="BR9" s="1358"/>
      <c r="BS9" s="1358"/>
      <c r="BT9" s="23"/>
    </row>
    <row r="10" spans="1:72" s="1599" customFormat="1" ht="12.75">
      <c r="A10" s="1592"/>
      <c r="B10" s="1592"/>
      <c r="C10" s="1592"/>
      <c r="D10" s="1592"/>
      <c r="E10" s="1592"/>
      <c r="F10" s="1592"/>
      <c r="G10" s="1070"/>
      <c r="H10" s="25"/>
      <c r="I10" s="1601" t="s">
        <v>3332</v>
      </c>
      <c r="J10" s="809"/>
      <c r="K10" s="1607" t="s">
        <v>3</v>
      </c>
      <c r="L10" s="809"/>
      <c r="M10" s="1607"/>
      <c r="N10" s="809"/>
      <c r="O10" s="1607"/>
      <c r="P10" s="809"/>
      <c r="Q10" s="1607"/>
      <c r="R10" s="809"/>
      <c r="S10" s="1607"/>
      <c r="T10" s="809"/>
      <c r="U10" s="1607"/>
      <c r="V10" s="809"/>
      <c r="W10" s="1607"/>
      <c r="X10" s="809"/>
      <c r="Y10" s="1607"/>
      <c r="Z10" s="809"/>
      <c r="AA10" s="1607"/>
      <c r="AB10" s="809"/>
      <c r="AC10" s="1070"/>
      <c r="AD10" s="12" t="s">
        <v>1097</v>
      </c>
      <c r="AE10" s="1608"/>
      <c r="AF10" s="12" t="s">
        <v>1097</v>
      </c>
      <c r="AG10" s="1608"/>
      <c r="AH10" s="12" t="s">
        <v>1098</v>
      </c>
      <c r="AI10" s="1608"/>
      <c r="AJ10" s="12" t="s">
        <v>1098</v>
      </c>
      <c r="AK10" s="1608"/>
      <c r="AL10" s="12" t="s">
        <v>1099</v>
      </c>
      <c r="AM10" s="1076"/>
      <c r="AN10" s="12" t="s">
        <v>1099</v>
      </c>
      <c r="AO10" s="1076"/>
      <c r="AP10" s="12" t="s">
        <v>1100</v>
      </c>
      <c r="AQ10" s="1076"/>
      <c r="AR10" s="12" t="s">
        <v>1100</v>
      </c>
      <c r="AS10" s="1076"/>
      <c r="AT10" s="1592"/>
      <c r="AU10" s="1592"/>
      <c r="AV10" s="1070"/>
      <c r="AW10" s="1575"/>
      <c r="AX10" s="1070"/>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70"/>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70"/>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70"/>
      <c r="AW11" s="1575"/>
      <c r="AX11" s="1070"/>
      <c r="AY11" s="25"/>
      <c r="AZ11" s="25"/>
      <c r="BA11" s="25"/>
      <c r="BB11" s="1597" t="str">
        <f>I10</f>
        <v>仓储</v>
      </c>
      <c r="BC11" s="1597" t="str">
        <f>K10</f>
        <v>工业</v>
      </c>
      <c r="BD11" s="1597">
        <f>M10</f>
        <v>0</v>
      </c>
      <c r="BE11" s="1597">
        <f>O10</f>
        <v>0</v>
      </c>
      <c r="BF11" s="1597">
        <f>Q10</f>
        <v>0</v>
      </c>
      <c r="BG11" s="1597">
        <f>S10</f>
        <v>0</v>
      </c>
      <c r="BH11" s="1597">
        <f>U10</f>
        <v>0</v>
      </c>
      <c r="BI11" s="1597">
        <f>W10</f>
        <v>0</v>
      </c>
      <c r="BJ11" s="1597">
        <f>Y10</f>
        <v>0</v>
      </c>
      <c r="BK11" s="1597">
        <f>AA10</f>
        <v>0</v>
      </c>
      <c r="BL11" s="1070"/>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70"/>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1"/>
      <c r="B13" s="1051"/>
      <c r="C13" s="1051"/>
      <c r="D13" s="1623" t="s">
        <v>3390</v>
      </c>
      <c r="E13" s="13">
        <f>IF($C$3="是",ROUND($A$3*G13/$B$3,2),ROUND($A$3*(G13-AT13)/$B$3,2))</f>
        <v>242044.6</v>
      </c>
      <c r="F13" s="29"/>
      <c r="G13" s="30">
        <f>H13+AC13+AT13</f>
        <v>270951.53999999998</v>
      </c>
      <c r="H13" s="17">
        <f>SUMIF(I$12:AB$12,"总值",I13:AB13)</f>
        <v>270951.53999999998</v>
      </c>
      <c r="I13" s="1624">
        <f>270951.54-K13</f>
        <v>270063.75999999995</v>
      </c>
      <c r="J13" s="1624"/>
      <c r="K13" s="1624">
        <f>计算过程!H3</f>
        <v>887.78</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242044.6</v>
      </c>
      <c r="AZ13" s="13">
        <f>BA13+BL13</f>
        <v>270951.53999999998</v>
      </c>
      <c r="BA13" s="13">
        <f>SUM(BB13:BK13)</f>
        <v>270951.53999999998</v>
      </c>
      <c r="BB13" s="13">
        <f>IF($D13="是",I13-J13,0)</f>
        <v>270063.75999999995</v>
      </c>
      <c r="BC13" s="13">
        <f>IF($D13="是",K13-L13,0)</f>
        <v>887.78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1"/>
      <c r="B14" s="1051"/>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1"/>
      <c r="B15" s="1051"/>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1"/>
      <c r="B16" s="1051"/>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1"/>
      <c r="B17" s="1051"/>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46" sqref="G46:G4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9"/>
      <c r="C1" s="1139"/>
      <c r="D1" s="1139"/>
      <c r="E1" s="1139"/>
      <c r="F1" s="1139"/>
      <c r="G1" s="1139"/>
      <c r="H1" s="1139"/>
      <c r="I1" s="1139"/>
      <c r="J1" s="1139"/>
      <c r="K1" s="1139"/>
      <c r="L1" s="1139"/>
      <c r="M1" s="1139"/>
      <c r="N1" s="1139"/>
      <c r="O1" s="1139"/>
      <c r="P1" s="1139"/>
    </row>
    <row r="2" spans="1:16" ht="15">
      <c r="A2" s="3602" t="s">
        <v>1131</v>
      </c>
      <c r="B2" s="3602"/>
      <c r="C2" s="3602"/>
      <c r="D2" s="796" t="s">
        <v>1107</v>
      </c>
      <c r="E2" s="1637" t="s">
        <v>1108</v>
      </c>
      <c r="F2" s="2655"/>
      <c r="G2" s="2646"/>
      <c r="H2" s="2647"/>
      <c r="I2" s="2322" t="s">
        <v>1132</v>
      </c>
      <c r="J2" s="2655"/>
      <c r="K2" s="2655"/>
      <c r="L2" s="2655"/>
      <c r="M2" s="2655"/>
      <c r="N2" s="2657"/>
      <c r="O2" s="2655"/>
      <c r="P2" s="2655"/>
    </row>
    <row r="3" spans="1:16" ht="15.75" thickBot="1">
      <c r="A3" s="3603" t="s">
        <v>1105</v>
      </c>
      <c r="B3" s="3603"/>
      <c r="C3" s="3603"/>
      <c r="D3" s="43">
        <f>'数据-基础表'!AY6</f>
        <v>242044.6</v>
      </c>
      <c r="E3" s="43">
        <f>'数据-基础表'!AZ5</f>
        <v>270951.53999999998</v>
      </c>
      <c r="F3" s="2655"/>
      <c r="G3" s="1145"/>
      <c r="H3" s="1026" t="s">
        <v>1106</v>
      </c>
      <c r="I3" s="855">
        <f>ROUND('数据-基础表'!B3/'数据-基础表'!A3,2)</f>
        <v>1.1200000000000001</v>
      </c>
      <c r="J3" s="2655"/>
      <c r="K3" s="2655"/>
      <c r="L3" s="2655"/>
      <c r="M3" s="2655"/>
      <c r="N3" s="2657"/>
      <c r="O3" s="2655"/>
      <c r="P3" s="2655"/>
    </row>
    <row r="4" spans="1:16" ht="15">
      <c r="A4" s="3604"/>
      <c r="B4" s="3605"/>
      <c r="C4" s="3606"/>
      <c r="D4" s="1639" t="s">
        <v>1107</v>
      </c>
      <c r="E4" s="1640" t="s">
        <v>1108</v>
      </c>
      <c r="F4" s="2655"/>
      <c r="G4" s="2648" t="s">
        <v>1133</v>
      </c>
      <c r="H4" s="1026" t="s">
        <v>1113</v>
      </c>
      <c r="I4" s="855">
        <f>ROUND(SUMIF('数据-基础表'!I9:AS9,"地上",'数据-基础表'!I5:AS5)/'数据-基础表'!A3,2)</f>
        <v>1.1200000000000001</v>
      </c>
      <c r="J4" s="2655"/>
      <c r="K4" s="2655"/>
      <c r="L4" s="2655"/>
      <c r="M4" s="2655"/>
      <c r="N4" s="2657"/>
      <c r="O4" s="2655"/>
      <c r="P4" s="2655"/>
    </row>
    <row r="5" spans="1:16">
      <c r="A5" s="44" t="s">
        <v>1109</v>
      </c>
      <c r="B5" s="3607" t="s">
        <v>1110</v>
      </c>
      <c r="C5" s="3607"/>
      <c r="D5" s="45">
        <f>ROUND($D$3*E5/$E$3,2)</f>
        <v>0</v>
      </c>
      <c r="E5" s="46">
        <f>SUMIF('数据-基础表'!$11:$11,"住宅",'数据-基础表'!$5:$5)</f>
        <v>0</v>
      </c>
      <c r="F5" s="2655"/>
      <c r="G5" s="1145"/>
      <c r="H5" s="1026" t="s">
        <v>1106</v>
      </c>
      <c r="I5" s="855">
        <f>ROUND(E31/D31,2)</f>
        <v>1.1200000000000001</v>
      </c>
      <c r="J5" s="2655"/>
      <c r="K5" s="2655"/>
      <c r="L5" s="2655"/>
      <c r="M5" s="2655"/>
      <c r="N5" s="2655"/>
      <c r="O5" s="2655"/>
      <c r="P5" s="2655"/>
    </row>
    <row r="6" spans="1:16" ht="15" thickBot="1">
      <c r="A6" s="1642"/>
      <c r="B6" s="3607" t="s">
        <v>1111</v>
      </c>
      <c r="C6" s="3607"/>
      <c r="D6" s="45">
        <f>ROUND($D$3*E6/$E$3,2)</f>
        <v>242044.6</v>
      </c>
      <c r="E6" s="46">
        <f>E3-E5</f>
        <v>270951.53999999998</v>
      </c>
      <c r="F6" s="2655"/>
      <c r="G6" s="2649" t="s">
        <v>1112</v>
      </c>
      <c r="H6" s="1146" t="s">
        <v>1113</v>
      </c>
      <c r="I6" s="2650">
        <f>ROUND(F31/D31,2)</f>
        <v>1.1200000000000001</v>
      </c>
      <c r="J6" s="2655"/>
      <c r="K6" s="2655"/>
      <c r="L6" s="2655"/>
      <c r="M6" s="2655"/>
      <c r="N6" s="2655"/>
      <c r="O6" s="2655"/>
      <c r="P6" s="2655"/>
    </row>
    <row r="7" spans="1:16" ht="15.75" thickBot="1">
      <c r="A7" s="3599"/>
      <c r="B7" s="3600"/>
      <c r="C7" s="3601"/>
      <c r="D7" s="1639" t="s">
        <v>1107</v>
      </c>
      <c r="E7" s="1643"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241251.53</v>
      </c>
      <c r="E8" s="48">
        <f>SUMIF('数据-基础表'!BB10:BK10,"地上",'数据-基础表'!BB5:BK5)</f>
        <v>270063.75999999995</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241251.53</v>
      </c>
      <c r="E16" s="50">
        <f>SUM(E8:E15)</f>
        <v>270063.75999999995</v>
      </c>
      <c r="F16" s="2655"/>
      <c r="G16" s="2656"/>
      <c r="H16" s="1646" t="s">
        <v>1135</v>
      </c>
      <c r="I16" s="1647"/>
      <c r="J16" s="1139"/>
      <c r="K16" s="3596" t="s">
        <v>1135</v>
      </c>
      <c r="L16" s="3597"/>
      <c r="M16" s="3597"/>
      <c r="N16" s="3597"/>
      <c r="O16" s="3597"/>
      <c r="P16" s="3598"/>
    </row>
    <row r="17" spans="1:19" ht="15">
      <c r="A17" s="1648" t="s">
        <v>1136</v>
      </c>
      <c r="B17" s="1649" t="s">
        <v>1137</v>
      </c>
      <c r="C17" s="1650" t="s">
        <v>1138</v>
      </c>
      <c r="D17" s="1651" t="s">
        <v>1126</v>
      </c>
      <c r="E17" s="1652" t="s">
        <v>1127</v>
      </c>
      <c r="F17" s="1653"/>
      <c r="G17" s="1654"/>
      <c r="H17" s="1655" t="s">
        <v>1139</v>
      </c>
      <c r="I17" s="1656" t="s">
        <v>1124</v>
      </c>
      <c r="J17" s="1139"/>
      <c r="K17" s="3593" t="s">
        <v>1140</v>
      </c>
      <c r="L17" s="3594"/>
      <c r="M17" s="3595"/>
      <c r="N17" s="3593" t="s">
        <v>1141</v>
      </c>
      <c r="O17" s="3594"/>
      <c r="P17" s="3595"/>
      <c r="R17" s="1638" t="s">
        <v>1142</v>
      </c>
      <c r="S17" s="56"/>
    </row>
    <row r="18" spans="1:19" ht="15">
      <c r="A18" s="1644"/>
      <c r="B18" s="1657"/>
      <c r="C18" s="1658"/>
      <c r="D18" s="1659"/>
      <c r="E18" s="1660" t="s">
        <v>1143</v>
      </c>
      <c r="F18" s="1661" t="s">
        <v>1144</v>
      </c>
      <c r="G18" s="1662" t="s">
        <v>1145</v>
      </c>
      <c r="H18" s="1041" t="s">
        <v>1146</v>
      </c>
      <c r="I18" s="1663" t="s">
        <v>1147</v>
      </c>
      <c r="J18" s="1139"/>
      <c r="K18" s="1041" t="s">
        <v>1148</v>
      </c>
      <c r="L18" s="1664" t="s">
        <v>1149</v>
      </c>
      <c r="M18" s="855" t="s">
        <v>1150</v>
      </c>
      <c r="N18" s="1041" t="s">
        <v>1148</v>
      </c>
      <c r="O18" s="1664" t="s">
        <v>1149</v>
      </c>
      <c r="P18" s="855" t="s">
        <v>1150</v>
      </c>
      <c r="R18" s="1026" t="s">
        <v>1151</v>
      </c>
      <c r="S18" s="1026" t="s">
        <v>1152</v>
      </c>
    </row>
    <row r="19" spans="1:19">
      <c r="A19" s="1665"/>
      <c r="B19" s="47" t="s">
        <v>1125</v>
      </c>
      <c r="C19" s="3413" t="s">
        <v>3393</v>
      </c>
      <c r="D19" s="45">
        <f>ROUND($D$3*E19/$E$3,2)</f>
        <v>242044.6</v>
      </c>
      <c r="E19" s="53">
        <f t="shared" ref="E19:E26" si="1">SUM(F19:G19)</f>
        <v>270951.53999999998</v>
      </c>
      <c r="F19" s="2791">
        <f>'数据-基础表'!I13</f>
        <v>270063.75999999995</v>
      </c>
      <c r="G19" s="3518">
        <f>'数据-基础表'!K13</f>
        <v>887.78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6"/>
      <c r="O19" s="1667"/>
      <c r="P19" s="1150">
        <f>N19+O19</f>
        <v>0</v>
      </c>
      <c r="R19" s="1026">
        <f t="shared" ref="R19:S26" si="5">D19+H19</f>
        <v>242044.6</v>
      </c>
      <c r="S19" s="1027">
        <f t="shared" si="5"/>
        <v>270951.53999999998</v>
      </c>
    </row>
    <row r="20" spans="1:19">
      <c r="A20" s="1668"/>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6"/>
      <c r="O20" s="1667"/>
      <c r="P20" s="1150">
        <f t="shared" ref="P20:P26" si="9">N20+O20</f>
        <v>0</v>
      </c>
      <c r="R20" s="1026">
        <f t="shared" si="5"/>
        <v>0</v>
      </c>
      <c r="S20" s="1027">
        <f t="shared" si="5"/>
        <v>0</v>
      </c>
    </row>
    <row r="21" spans="1:19">
      <c r="A21" s="1668"/>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6"/>
      <c r="O21" s="1667"/>
      <c r="P21" s="1150">
        <f t="shared" si="9"/>
        <v>0</v>
      </c>
      <c r="R21" s="1026">
        <f t="shared" si="5"/>
        <v>0</v>
      </c>
      <c r="S21" s="1027">
        <f t="shared" si="5"/>
        <v>0</v>
      </c>
    </row>
    <row r="22" spans="1:19">
      <c r="A22" s="1668"/>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6"/>
      <c r="O22" s="1667"/>
      <c r="P22" s="1150">
        <f t="shared" si="9"/>
        <v>0</v>
      </c>
      <c r="R22" s="1026">
        <f t="shared" si="5"/>
        <v>0</v>
      </c>
      <c r="S22" s="1027">
        <f t="shared" si="5"/>
        <v>0</v>
      </c>
    </row>
    <row r="23" spans="1:19">
      <c r="A23" s="1668"/>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6"/>
      <c r="O23" s="1667"/>
      <c r="P23" s="1150">
        <f t="shared" si="9"/>
        <v>0</v>
      </c>
      <c r="R23" s="1026">
        <f t="shared" si="5"/>
        <v>0</v>
      </c>
      <c r="S23" s="1027">
        <f t="shared" si="5"/>
        <v>0</v>
      </c>
    </row>
    <row r="24" spans="1:19">
      <c r="A24" s="1668"/>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6"/>
      <c r="O24" s="1667"/>
      <c r="P24" s="1150">
        <f t="shared" si="9"/>
        <v>0</v>
      </c>
      <c r="R24" s="1026">
        <f t="shared" si="5"/>
        <v>0</v>
      </c>
      <c r="S24" s="1027">
        <f t="shared" si="5"/>
        <v>0</v>
      </c>
    </row>
    <row r="25" spans="1:19">
      <c r="A25" s="1668"/>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6"/>
      <c r="O25" s="1667"/>
      <c r="P25" s="1150">
        <f t="shared" si="9"/>
        <v>0</v>
      </c>
      <c r="R25" s="1026">
        <f t="shared" si="5"/>
        <v>0</v>
      </c>
      <c r="S25" s="1027">
        <f t="shared" si="5"/>
        <v>0</v>
      </c>
    </row>
    <row r="26" spans="1:19">
      <c r="A26" s="1668"/>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69"/>
      <c r="O26" s="1670"/>
      <c r="P26" s="59">
        <f t="shared" si="9"/>
        <v>0</v>
      </c>
      <c r="R26" s="1026">
        <f t="shared" si="5"/>
        <v>0</v>
      </c>
      <c r="S26" s="1027">
        <f t="shared" si="5"/>
        <v>0</v>
      </c>
    </row>
    <row r="27" spans="1:19" ht="15.75" thickBot="1">
      <c r="A27" s="1668"/>
      <c r="B27" s="45"/>
      <c r="C27" s="1671" t="s">
        <v>1154</v>
      </c>
      <c r="D27" s="1140">
        <f>SUM(D19:D26)</f>
        <v>242044.6</v>
      </c>
      <c r="E27" s="1141">
        <f>IF(SUM(E19:E26)='数据-基础表'!BA5,SUM(E19:E26),IF(F27="地上面积有误","面积有误","地下面积有误"))</f>
        <v>270951.53999999998</v>
      </c>
      <c r="F27" s="1140">
        <f>IF(SUM(F19:F26)=E8,SUM(F19:F26),"地上面积有误")</f>
        <v>270063.75999999995</v>
      </c>
      <c r="G27" s="1142">
        <f>SUM(G19:G26)</f>
        <v>887.78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242044.6</v>
      </c>
      <c r="S27" s="1026">
        <f>IF(SUM(S19:S26)=$E$3,SUM(S19:S26),SUM(S19:S26)&amp;"误差"&amp;ROUND(SUM(S19:S26)-E3,2))</f>
        <v>270951.53999999998</v>
      </c>
    </row>
    <row r="28" spans="1:19">
      <c r="A28" s="1668"/>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4"/>
      <c r="B31" s="1675"/>
      <c r="C31" s="835" t="s">
        <v>1158</v>
      </c>
      <c r="D31" s="676">
        <f>D27+D30</f>
        <v>242044.6</v>
      </c>
      <c r="E31" s="676">
        <f>E27+E30</f>
        <v>270951.53999999998</v>
      </c>
      <c r="F31" s="677">
        <f>F27+F30</f>
        <v>270063.75999999995</v>
      </c>
      <c r="G31" s="678">
        <f>G27+G30</f>
        <v>887.78</v>
      </c>
      <c r="H31" s="2655"/>
      <c r="I31" s="2655"/>
      <c r="J31" s="2655"/>
      <c r="K31" s="2655"/>
      <c r="L31" s="2655"/>
      <c r="M31" s="2655"/>
      <c r="N31" s="2655"/>
      <c r="O31" s="2655"/>
      <c r="P31" s="2655"/>
    </row>
    <row r="32" spans="1:19">
      <c r="A32" s="1641"/>
      <c r="B32" s="1641" t="s">
        <v>1159</v>
      </c>
      <c r="C32" s="1641"/>
      <c r="D32" s="1641"/>
      <c r="E32" s="1053">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8.875" style="1680" customWidth="1"/>
    <col min="23" max="27" width="6.75" style="1680" customWidth="1"/>
    <col min="28" max="28" width="10.375" style="1680" customWidth="1"/>
    <col min="29" max="30" width="6.75" style="1680" customWidth="1"/>
    <col min="31" max="31" width="8" style="1680" customWidth="1"/>
    <col min="32" max="33" width="7.25" style="1680" customWidth="1"/>
    <col min="34" max="34" width="11.7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7" customFormat="1" ht="15.75" thickBot="1">
      <c r="A2" s="1681" t="s">
        <v>1161</v>
      </c>
      <c r="B2" s="1045">
        <f>项目基本情况!D3</f>
        <v>45540</v>
      </c>
      <c r="C2" s="1682"/>
      <c r="D2" s="1683"/>
      <c r="E2" s="1682"/>
      <c r="F2" s="1682"/>
      <c r="G2" s="1682"/>
      <c r="H2" s="1682"/>
      <c r="I2" s="1682"/>
      <c r="J2" s="1682"/>
      <c r="K2" s="1168"/>
      <c r="L2" s="1168"/>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8"/>
      <c r="L3" s="1168"/>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0.5">
      <c r="A5" s="1693" t="s">
        <v>1168</v>
      </c>
      <c r="B5" s="1694" t="s">
        <v>1169</v>
      </c>
      <c r="C5" s="1695" t="s">
        <v>1170</v>
      </c>
      <c r="D5" s="1696" t="s">
        <v>1171</v>
      </c>
      <c r="E5" s="1047" t="s">
        <v>1172</v>
      </c>
      <c r="F5" s="1697" t="s">
        <v>1173</v>
      </c>
      <c r="G5" s="1047" t="s">
        <v>1174</v>
      </c>
      <c r="H5" s="1047" t="s">
        <v>1175</v>
      </c>
      <c r="I5" s="1047" t="s">
        <v>1176</v>
      </c>
      <c r="J5" s="1698" t="s">
        <v>1177</v>
      </c>
      <c r="K5" s="1699" t="s">
        <v>1178</v>
      </c>
      <c r="L5" s="1700" t="s">
        <v>1179</v>
      </c>
      <c r="M5" s="1701" t="s">
        <v>1180</v>
      </c>
      <c r="N5" s="1702" t="s">
        <v>3452</v>
      </c>
      <c r="O5" s="1700" t="s">
        <v>1181</v>
      </c>
      <c r="P5" s="1703" t="s">
        <v>1182</v>
      </c>
      <c r="Q5" s="61" t="s">
        <v>1183</v>
      </c>
      <c r="R5" s="1704" t="s">
        <v>1184</v>
      </c>
      <c r="S5" s="1705" t="s">
        <v>1185</v>
      </c>
      <c r="T5" s="1706" t="s">
        <v>1186</v>
      </c>
      <c r="U5" s="1046" t="s">
        <v>1187</v>
      </c>
      <c r="V5" s="1047" t="s">
        <v>1188</v>
      </c>
      <c r="W5" s="1047" t="s">
        <v>1189</v>
      </c>
      <c r="X5" s="63"/>
      <c r="Y5" s="62" t="s">
        <v>1190</v>
      </c>
      <c r="Z5" s="1707" t="s">
        <v>1187</v>
      </c>
      <c r="AA5" s="1047" t="s">
        <v>1188</v>
      </c>
      <c r="AB5" s="1047" t="s">
        <v>1189</v>
      </c>
      <c r="AC5" s="63"/>
      <c r="AD5" s="63" t="s">
        <v>1190</v>
      </c>
      <c r="AE5" s="1046" t="s">
        <v>1191</v>
      </c>
      <c r="AF5" s="1047" t="s">
        <v>1192</v>
      </c>
      <c r="AG5" s="62" t="s">
        <v>1193</v>
      </c>
      <c r="AH5" s="1046" t="s">
        <v>1194</v>
      </c>
      <c r="AI5" s="1707" t="s">
        <v>1195</v>
      </c>
      <c r="AJ5" s="1707" t="s">
        <v>1196</v>
      </c>
      <c r="AK5" s="1047" t="s">
        <v>1197</v>
      </c>
      <c r="AL5" s="1047" t="s">
        <v>1198</v>
      </c>
      <c r="AM5" s="62" t="s">
        <v>1199</v>
      </c>
      <c r="AN5" s="1708" t="s">
        <v>1200</v>
      </c>
      <c r="AO5" s="1560" t="s">
        <v>1201</v>
      </c>
      <c r="AP5" s="1028"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工业-仓储</v>
      </c>
      <c r="B6" s="1711" t="str">
        <f>IF(A6=0,"","经营性")</f>
        <v>经营性</v>
      </c>
      <c r="C6" s="1712" t="s">
        <v>3332</v>
      </c>
      <c r="D6" s="858">
        <f>SUMIF(项目基本情况!C$12:I$12,C6,项目基本情况!C$14:I$14)</f>
        <v>50</v>
      </c>
      <c r="E6" s="857">
        <f>IF(B6="","",SUMIF(项目基本情况!C$12:I$12,C6,项目基本情况!C$13:I$13))</f>
        <v>62562</v>
      </c>
      <c r="F6" s="64">
        <f>SUMIF(项目基本情况!C$12:I$12,C6,项目基本情况!C$15:I$15)</f>
        <v>46.63</v>
      </c>
      <c r="G6" s="65">
        <f>IF(ISERROR(ROUND(POWER(1+H6,D6-F6)*(POWER(1+H6,F6)-1)/(POWER(1+H6,D6)-1),3)),0,ROUND(POWER(1+H6,D6-F6)*(POWER(1+H6,F6)-1)/(POWER(1+H6,D6)-1),3))</f>
        <v>0.98</v>
      </c>
      <c r="H6" s="732">
        <v>4.4999999999999998E-2</v>
      </c>
      <c r="I6" s="732">
        <v>0.05</v>
      </c>
      <c r="J6" s="66">
        <v>7.0000000000000007E-2</v>
      </c>
      <c r="K6" s="1030">
        <f>SUMIF('数据-汇总表'!C$19:C$33,A6,'数据-汇总表'!E$19:E$33)</f>
        <v>270951.53999999998</v>
      </c>
      <c r="L6" s="3886">
        <f>计算过程!M23</f>
        <v>2451.3215721158103</v>
      </c>
      <c r="M6" s="67">
        <f t="shared" ref="M6:M14" si="0">ROUND(K6*L6/10000,0)</f>
        <v>66419</v>
      </c>
      <c r="N6" s="731">
        <f>M22</f>
        <v>0.98</v>
      </c>
      <c r="O6" s="67" t="str">
        <f>IF($N$5="成新度","——",ROUND(M6*N6,0))</f>
        <v>——</v>
      </c>
      <c r="P6" s="68" t="str">
        <f>IF($N$5="成新度","——",M6-O6)</f>
        <v>——</v>
      </c>
      <c r="Q6" s="734">
        <v>0.1</v>
      </c>
      <c r="R6" s="69">
        <f ca="1">SUMIF('数据-汇总表'!C$19:C$33,A6,'数据-汇总表'!R$19:R$27)</f>
        <v>242044.6</v>
      </c>
      <c r="S6" s="51">
        <f>IF('数据-汇总表'!$I$17="按面积比例",SUMIF('数据-汇总表'!C$19:C$33,A6,'数据-汇总表'!K$19:K$33),SUMIF('数据-汇总表'!C$19:C$33,A6,'数据-汇总表'!N$19:N$33))</f>
        <v>0</v>
      </c>
      <c r="T6" s="1172">
        <f>ROUND($L$14*S6/10000,0)</f>
        <v>0</v>
      </c>
      <c r="U6" s="3424">
        <v>0.6</v>
      </c>
      <c r="V6" s="3885">
        <v>0.02</v>
      </c>
      <c r="W6" s="70">
        <v>0.1</v>
      </c>
      <c r="X6" s="1040"/>
      <c r="Y6" s="71">
        <f>N6</f>
        <v>0.98</v>
      </c>
      <c r="Z6" s="72"/>
      <c r="AA6" s="66"/>
      <c r="AB6" s="66"/>
      <c r="AC6" s="1040"/>
      <c r="AD6" s="73"/>
      <c r="AE6" s="1041">
        <f ca="1">IF(AN6="",0,SUMIF(INDIRECT("'"&amp;AN6&amp;"'"&amp;"!E:E"),$AE$5,INDIRECT("'"&amp;AN6&amp;"'"&amp;"!F:F")))</f>
        <v>46.63</v>
      </c>
      <c r="AF6" s="1346"/>
      <c r="AG6" s="138">
        <f>IF(AF6="",0,AE6-AF6)</f>
        <v>0</v>
      </c>
      <c r="AH6" s="3887">
        <f>计算过程!L25</f>
        <v>252627.15000000002</v>
      </c>
      <c r="AI6" s="76">
        <v>365</v>
      </c>
      <c r="AJ6" s="77"/>
      <c r="AK6" s="78">
        <v>4.0000000000000001E-3</v>
      </c>
      <c r="AL6" s="79">
        <v>1E-3</v>
      </c>
      <c r="AM6" s="80">
        <v>0.01</v>
      </c>
      <c r="AN6" s="1713" t="s">
        <v>3480</v>
      </c>
      <c r="AO6" s="52">
        <f ca="1">SUMIF(INDIRECT("'"&amp;AN6&amp;"'"&amp;"!A:A"),"总价",INDIRECT("'"&amp;AN6&amp;"'"&amp;"!B:B"))</f>
        <v>90136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5"/>
      <c r="AJ14" s="704"/>
      <c r="AK14" s="1042"/>
      <c r="AL14" s="1043"/>
      <c r="AM14" s="1044"/>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5"/>
      <c r="AJ15" s="704"/>
      <c r="AK15" s="1042"/>
      <c r="AL15" s="1043"/>
      <c r="AM15" s="1044"/>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0.98</v>
      </c>
      <c r="H16" s="90">
        <f>ROUND(SUMPRODUCT(H6:H13,K6:K13)/SUMPRODUCT((H6:H13&gt;0)*(K6:K13)),3)</f>
        <v>4.4999999999999998E-2</v>
      </c>
      <c r="I16" s="91"/>
      <c r="J16" s="91"/>
      <c r="K16" s="92">
        <f>SUM(K6:K15)</f>
        <v>270951.53999999998</v>
      </c>
      <c r="L16" s="93">
        <f>ROUND(M16*10000/SUM(K6:K14),0)</f>
        <v>2451</v>
      </c>
      <c r="M16" s="93">
        <f>SUM(M6:M14)</f>
        <v>66419</v>
      </c>
      <c r="N16" s="94">
        <f>ROUND(SUMPRODUCT(M6:M14,N6:N14)/M16,3)</f>
        <v>0.98</v>
      </c>
      <c r="O16" s="93">
        <f>SUM(O6:O14)</f>
        <v>0</v>
      </c>
      <c r="P16" s="93">
        <f>SUM(P6:P14)</f>
        <v>0</v>
      </c>
      <c r="Q16" s="95">
        <f>ROUND(SUMPRODUCT(Q6:Q13,K6:K13)/SUMPRODUCT((Q6:Q13&gt;0)*(K6:K13)),2)</f>
        <v>0.1</v>
      </c>
      <c r="R16" s="1034">
        <f ca="1">SUM(R6:R13)</f>
        <v>242044.6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v>2300</v>
      </c>
      <c r="M18" s="2667"/>
      <c r="N18" s="2667"/>
      <c r="O18" s="2667"/>
      <c r="P18" s="2667"/>
      <c r="Q18" s="2667">
        <f>Q16/B20</f>
        <v>0.05</v>
      </c>
      <c r="R18" s="2667"/>
      <c r="S18" s="2667"/>
      <c r="T18" s="3467" t="s">
        <v>3720</v>
      </c>
      <c r="U18" s="1679"/>
      <c r="V18" s="2667">
        <v>0.45500000000000002</v>
      </c>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1211</v>
      </c>
      <c r="B19" s="103">
        <v>0</v>
      </c>
      <c r="C19" s="2795" t="s">
        <v>2299</v>
      </c>
      <c r="D19" s="2672"/>
      <c r="E19" s="2669"/>
      <c r="F19" s="2669"/>
      <c r="G19" s="2669"/>
      <c r="H19" s="2669"/>
      <c r="I19" s="2669"/>
      <c r="J19" s="2669"/>
      <c r="K19" s="2668"/>
      <c r="L19" s="2668"/>
      <c r="M19" s="2667"/>
      <c r="N19" s="2667">
        <v>2023</v>
      </c>
      <c r="O19" s="2667"/>
      <c r="P19" s="2667"/>
      <c r="Q19" s="2667"/>
      <c r="R19" s="2667"/>
      <c r="S19" s="2667"/>
      <c r="T19" s="3467" t="s">
        <v>3721</v>
      </c>
      <c r="U19" s="2667"/>
      <c r="V19" s="2667">
        <v>0.19500000000000001</v>
      </c>
      <c r="W19" s="2667"/>
      <c r="X19" s="2667"/>
      <c r="Y19" s="2667"/>
      <c r="Z19" s="3467" t="s">
        <v>3736</v>
      </c>
      <c r="AA19" s="2667"/>
      <c r="AB19" s="3489">
        <v>47907</v>
      </c>
      <c r="AC19" s="2667"/>
      <c r="AD19" s="2667"/>
      <c r="AE19" s="2667"/>
      <c r="AF19" s="2667"/>
      <c r="AG19" s="2667"/>
      <c r="AH19" s="2667"/>
      <c r="AI19" s="2667"/>
      <c r="AJ19" s="2667"/>
      <c r="AK19" s="2667"/>
      <c r="AL19" s="2667"/>
      <c r="AM19" s="2667"/>
      <c r="AN19" s="2667"/>
      <c r="AO19" s="2667"/>
      <c r="AP19" s="2667"/>
      <c r="AQ19" s="2667"/>
      <c r="AR19" s="2667"/>
    </row>
    <row r="20" spans="1:67" ht="14.25">
      <c r="A20" s="1721" t="s">
        <v>1212</v>
      </c>
      <c r="B20" s="104">
        <v>2</v>
      </c>
      <c r="C20" s="2796" t="s">
        <v>2297</v>
      </c>
      <c r="D20" s="2672"/>
      <c r="E20" s="2669"/>
      <c r="F20" s="2669"/>
      <c r="G20" s="2669"/>
      <c r="H20" s="2669"/>
      <c r="I20" s="2669"/>
      <c r="J20" s="3465"/>
      <c r="K20" s="3466"/>
      <c r="L20" s="2668"/>
      <c r="M20" s="2668"/>
      <c r="N20" s="2668"/>
      <c r="O20" s="2668"/>
      <c r="P20" s="2668"/>
      <c r="Q20" s="2668"/>
      <c r="R20" s="2668"/>
      <c r="S20" s="2667"/>
      <c r="T20" s="3467" t="s">
        <v>3735</v>
      </c>
      <c r="U20" s="2667"/>
      <c r="V20" s="2667">
        <f>V18+V19</f>
        <v>0.65</v>
      </c>
      <c r="W20" s="2667"/>
      <c r="X20" s="2667"/>
      <c r="Y20" s="2667"/>
      <c r="Z20" s="3467" t="s">
        <v>3737</v>
      </c>
      <c r="AA20" s="2667"/>
      <c r="AB20" s="3489">
        <f>系统读取表!B3</f>
        <v>45540</v>
      </c>
      <c r="AC20" s="2667"/>
      <c r="AD20" s="2667"/>
      <c r="AE20" s="2667"/>
      <c r="AF20" s="2667"/>
      <c r="AG20" s="2667"/>
      <c r="AH20" s="2667"/>
      <c r="AI20" s="2667"/>
      <c r="AJ20" s="2667"/>
      <c r="AK20" s="2667"/>
      <c r="AL20" s="2667"/>
      <c r="AM20" s="2667"/>
      <c r="AN20" s="2667"/>
      <c r="AO20" s="2667"/>
      <c r="AP20" s="2667"/>
      <c r="AQ20" s="2667"/>
      <c r="AR20" s="2667"/>
    </row>
    <row r="21" spans="1:67" ht="14.25">
      <c r="A21" s="1722" t="s">
        <v>1213</v>
      </c>
      <c r="B21" s="104">
        <v>2</v>
      </c>
      <c r="C21" s="2669"/>
      <c r="D21" s="2672"/>
      <c r="E21" s="2669"/>
      <c r="F21" s="2669"/>
      <c r="G21" s="2669"/>
      <c r="H21" s="2669"/>
      <c r="I21" s="2669"/>
      <c r="J21" s="3465"/>
      <c r="K21" s="3468" t="s">
        <v>3450</v>
      </c>
      <c r="L21" s="3466" t="s">
        <v>3451</v>
      </c>
      <c r="M21" s="3466" t="s">
        <v>3453</v>
      </c>
      <c r="N21" s="2668"/>
      <c r="O21" s="2668"/>
      <c r="P21" s="2668"/>
      <c r="Q21" s="2668"/>
      <c r="R21" s="2668"/>
      <c r="S21" s="2667"/>
      <c r="T21" s="3467" t="s">
        <v>3803</v>
      </c>
      <c r="U21" s="2667"/>
      <c r="V21" s="2667">
        <f>233848+6167.2</f>
        <v>240015.2</v>
      </c>
      <c r="W21" s="2667">
        <f>V21/K16</f>
        <v>0.88582334686121378</v>
      </c>
      <c r="X21" s="2667"/>
      <c r="Y21" s="2667"/>
      <c r="Z21" s="3467" t="s">
        <v>3738</v>
      </c>
      <c r="AA21" s="2667"/>
      <c r="AB21" s="3490">
        <f>ROUND((AB19-AB20)/365,2)</f>
        <v>6.48</v>
      </c>
      <c r="AC21" s="2667"/>
      <c r="AD21" s="2667"/>
      <c r="AE21" s="2667"/>
      <c r="AF21" s="2667"/>
      <c r="AG21" s="2667"/>
      <c r="AH21" s="2667"/>
      <c r="AI21" s="2667"/>
      <c r="AJ21" s="2667"/>
      <c r="AK21" s="2667"/>
      <c r="AL21" s="2667"/>
      <c r="AM21" s="2667"/>
      <c r="AN21" s="2667"/>
      <c r="AO21" s="2667"/>
      <c r="AP21" s="2667"/>
      <c r="AQ21" s="2667"/>
      <c r="AR21" s="2667"/>
    </row>
    <row r="22" spans="1:67" ht="14.25">
      <c r="A22" s="1721" t="s">
        <v>1214</v>
      </c>
      <c r="B22" s="105">
        <f>B19+B20</f>
        <v>2</v>
      </c>
      <c r="C22" s="2669"/>
      <c r="D22" s="2672"/>
      <c r="E22" s="2669"/>
      <c r="F22" s="2669"/>
      <c r="G22" s="2669"/>
      <c r="H22" s="2669"/>
      <c r="I22" s="2669"/>
      <c r="J22" s="3465"/>
      <c r="K22" s="3468">
        <v>268883.96999999997</v>
      </c>
      <c r="L22" s="3468" t="s">
        <v>3447</v>
      </c>
      <c r="M22" s="2668">
        <f>ROUND(1-(1-0%)*(2024-N19)/60,2)</f>
        <v>0.98</v>
      </c>
      <c r="N22" s="2668">
        <f>K22*M22</f>
        <v>263506.29059999995</v>
      </c>
      <c r="O22" s="2668"/>
      <c r="P22" s="2668"/>
      <c r="Q22" s="2668"/>
      <c r="R22" s="2668"/>
      <c r="S22" s="2667"/>
      <c r="T22" s="3467" t="s">
        <v>3805</v>
      </c>
      <c r="U22" s="2667"/>
      <c r="V22" s="3485">
        <f>K16-V21</f>
        <v>30936.339999999967</v>
      </c>
      <c r="W22" s="2667"/>
      <c r="X22" s="2667"/>
      <c r="Y22" s="2667"/>
      <c r="Z22" s="3467" t="s">
        <v>3739</v>
      </c>
      <c r="AA22" s="2667"/>
      <c r="AB22" s="2667">
        <v>0.6</v>
      </c>
      <c r="AC22" s="2667"/>
      <c r="AD22" s="2667"/>
      <c r="AE22" s="2667"/>
      <c r="AF22" s="2667"/>
      <c r="AG22" s="2667"/>
      <c r="AH22" s="2667"/>
      <c r="AI22" s="2667"/>
      <c r="AJ22" s="2667"/>
      <c r="AK22" s="2667"/>
      <c r="AL22" s="2667"/>
      <c r="AM22" s="2667"/>
      <c r="AN22" s="2667"/>
      <c r="AO22" s="2667"/>
      <c r="AP22" s="2667"/>
      <c r="AQ22" s="2667"/>
      <c r="AR22" s="2667"/>
    </row>
    <row r="23" spans="1:67" ht="14.25">
      <c r="A23" s="1722" t="s">
        <v>1215</v>
      </c>
      <c r="B23" s="105">
        <f>B19+B21</f>
        <v>2</v>
      </c>
      <c r="C23" s="2669"/>
      <c r="D23" s="2672"/>
      <c r="E23" s="2669"/>
      <c r="F23" s="2669"/>
      <c r="G23" s="2669"/>
      <c r="H23" s="2669"/>
      <c r="I23" s="2669"/>
      <c r="J23" s="2669"/>
      <c r="K23" s="3468">
        <v>2067.5700000000002</v>
      </c>
      <c r="L23" s="3468" t="s">
        <v>3448</v>
      </c>
      <c r="M23" s="2668">
        <f>ROUND(1-(1-2%)*(2024-N19)/80,2)</f>
        <v>0.99</v>
      </c>
      <c r="N23" s="2668">
        <f>K22*M23</f>
        <v>266195.13029999996</v>
      </c>
      <c r="O23" s="2668"/>
      <c r="P23" s="2668"/>
      <c r="Q23" s="2668"/>
      <c r="R23" s="2668"/>
      <c r="S23" s="2667"/>
      <c r="T23" s="2667"/>
      <c r="U23" s="2667"/>
      <c r="V23" s="2667"/>
      <c r="W23" s="2667"/>
      <c r="X23" s="2667"/>
      <c r="Y23" s="2667"/>
      <c r="Z23" s="3467" t="s">
        <v>3740</v>
      </c>
      <c r="AA23" s="2667"/>
      <c r="AB23" s="3491">
        <v>1.4999999999999999E-2</v>
      </c>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1216</v>
      </c>
      <c r="B24" s="106">
        <f>B20-B21</f>
        <v>0</v>
      </c>
      <c r="C24" s="2669"/>
      <c r="D24" s="2672"/>
      <c r="E24" s="2669"/>
      <c r="F24" s="2669"/>
      <c r="G24" s="2669"/>
      <c r="H24" s="2669"/>
      <c r="I24" s="2669"/>
      <c r="J24" s="2669"/>
      <c r="K24" s="2668">
        <f>K22+K23</f>
        <v>270951.53999999998</v>
      </c>
      <c r="L24" s="2668"/>
      <c r="M24" s="2668">
        <f>ROUND(N24/K24/2,2)</f>
        <v>0.98</v>
      </c>
      <c r="N24" s="2668">
        <f>N22+N23</f>
        <v>529701.42089999991</v>
      </c>
      <c r="O24" s="2668"/>
      <c r="P24" s="2668"/>
      <c r="Q24" s="2668"/>
      <c r="R24" s="2668"/>
      <c r="S24" s="2667"/>
      <c r="T24" s="3467"/>
      <c r="U24" s="2667"/>
      <c r="V24" s="2667"/>
      <c r="W24" s="2667"/>
      <c r="X24" s="2667"/>
      <c r="Y24" s="2667"/>
      <c r="Z24" s="3467" t="s">
        <v>3741</v>
      </c>
      <c r="AA24" s="2667"/>
      <c r="AB24" s="2667">
        <f>ROUND(V20*(1+AB23)^AB21,1)</f>
        <v>0.7</v>
      </c>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8"/>
      <c r="N25" s="2668"/>
      <c r="O25" s="2668"/>
      <c r="P25" s="2668"/>
      <c r="Q25" s="2668"/>
      <c r="R25" s="2668"/>
      <c r="S25" s="2667"/>
      <c r="T25" s="2667"/>
      <c r="U25" s="2667"/>
      <c r="V25" s="2667"/>
      <c r="W25" s="2667"/>
      <c r="X25" s="2667"/>
      <c r="Y25" s="2667"/>
      <c r="Z25" s="3467" t="s">
        <v>3742</v>
      </c>
      <c r="AA25" s="2667"/>
      <c r="AB25" s="2667">
        <f>ROUND(1-(1-0%)*(2031-N19)/60,2)</f>
        <v>0.87</v>
      </c>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1217</v>
      </c>
      <c r="B26" s="1724" t="s">
        <v>1218</v>
      </c>
      <c r="C26" s="2673" t="s">
        <v>1219</v>
      </c>
      <c r="D26" s="2672"/>
      <c r="E26" s="2669"/>
      <c r="F26" s="2669"/>
      <c r="G26" s="2669"/>
      <c r="H26" s="2669"/>
      <c r="I26" s="2669"/>
      <c r="J26" s="2669"/>
      <c r="K26" s="2668"/>
      <c r="L26" s="2668"/>
      <c r="M26" s="2668"/>
      <c r="N26" s="2668"/>
      <c r="O26" s="2668"/>
      <c r="P26" s="2668"/>
      <c r="Q26" s="2668"/>
      <c r="R26" s="2668"/>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1220</v>
      </c>
      <c r="B27" s="107">
        <v>412</v>
      </c>
      <c r="C27" s="2797" t="s">
        <v>2301</v>
      </c>
      <c r="D27" s="2675"/>
      <c r="E27" s="2657"/>
      <c r="F27" s="2657"/>
      <c r="G27" s="2669"/>
      <c r="H27" s="2669"/>
      <c r="I27" s="2669"/>
      <c r="J27" s="2669"/>
      <c r="K27" s="2668"/>
      <c r="L27" s="2668"/>
      <c r="M27" s="2668"/>
      <c r="N27" s="2668"/>
      <c r="O27" s="2668"/>
      <c r="P27" s="2668"/>
      <c r="Q27" s="2668"/>
      <c r="R27" s="2668"/>
      <c r="S27" s="2667"/>
      <c r="T27" s="2667"/>
      <c r="U27" s="2667"/>
      <c r="V27" s="2667"/>
      <c r="W27" s="2667"/>
      <c r="X27" s="2667"/>
      <c r="Y27" s="2667"/>
      <c r="Z27" s="2667"/>
      <c r="AA27" s="2667"/>
      <c r="AB27" s="2667">
        <f>U6*(1+V6)^AB21</f>
        <v>0.68215075383517776</v>
      </c>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480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799" t="s">
        <v>3379</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c r="C34" s="2799" t="s">
        <v>2291</v>
      </c>
      <c r="D34" s="2680" t="s">
        <v>2298</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0.02</v>
      </c>
      <c r="C36" s="2799" t="s">
        <v>3380</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1230</v>
      </c>
      <c r="B37" s="115">
        <v>0.02</v>
      </c>
      <c r="C37" s="2799" t="s">
        <v>2293</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1231</v>
      </c>
      <c r="B38" s="113">
        <v>0.02</v>
      </c>
      <c r="C38" s="2799" t="s">
        <v>2293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2308</v>
      </c>
      <c r="B40" s="1078">
        <f ca="1">IF(A40="利息：取LPR",存贷款利率!G1,存贷款利率!G1+C40)</f>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1236</v>
      </c>
      <c r="B44" s="119">
        <v>7.0000000000000007E-2</v>
      </c>
      <c r="C44" s="2799" t="s">
        <v>2302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1237</v>
      </c>
      <c r="B45" s="117">
        <v>0.03</v>
      </c>
      <c r="C45" s="2798" t="s">
        <v>2294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1238</v>
      </c>
      <c r="B46" s="117">
        <v>0.02</v>
      </c>
      <c r="C46" s="2798" t="s">
        <v>2295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1239</v>
      </c>
      <c r="B47" s="120"/>
      <c r="C47" s="2801" t="s">
        <v>2303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1240</v>
      </c>
      <c r="B48" s="121">
        <v>0.03</v>
      </c>
      <c r="C48" s="2798" t="s">
        <v>2294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1241</v>
      </c>
      <c r="B49" s="117">
        <v>5.0000000000000001E-4</v>
      </c>
      <c r="C49" s="2798" t="s">
        <v>2296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1245</v>
      </c>
      <c r="B53" s="1736" t="s">
        <v>29</v>
      </c>
      <c r="C53" s="2657" t="s">
        <v>1246</v>
      </c>
      <c r="D53" s="2800" t="s">
        <v>2300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1247</v>
      </c>
      <c r="B54" s="75">
        <v>25</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1248</v>
      </c>
      <c r="B55" s="75">
        <v>20</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1249</v>
      </c>
      <c r="B56" s="75">
        <v>15</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1250</v>
      </c>
      <c r="B57" s="75">
        <v>10</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1251</v>
      </c>
      <c r="B58" s="75">
        <v>5</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4"/>
  </cols>
  <sheetData>
    <row r="1" spans="1:29" s="2453" customFormat="1" ht="18.75" thickBot="1">
      <c r="A1" s="3608" t="s">
        <v>2282</v>
      </c>
      <c r="B1" s="3609"/>
      <c r="C1" s="3609"/>
      <c r="D1" s="3609"/>
      <c r="E1" s="3609"/>
      <c r="F1" s="3609"/>
      <c r="G1" s="360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9"/>
      <c r="I2" s="799"/>
      <c r="J2" s="799"/>
      <c r="K2" s="799"/>
      <c r="L2" s="799"/>
      <c r="M2" s="799"/>
      <c r="N2" s="799"/>
      <c r="O2" s="799"/>
      <c r="P2" s="799"/>
      <c r="Q2" s="799"/>
      <c r="R2" s="799"/>
    </row>
    <row r="3" spans="1:29" ht="48">
      <c r="A3" s="2437" t="s">
        <v>2279</v>
      </c>
      <c r="B3" s="2459" t="s">
        <v>2248</v>
      </c>
      <c r="C3" s="2460" t="s">
        <v>2280</v>
      </c>
      <c r="D3" s="2461"/>
      <c r="E3" s="2438" t="s">
        <v>2279</v>
      </c>
      <c r="F3" s="2462" t="s">
        <v>2249</v>
      </c>
      <c r="G3" s="2463" t="s">
        <v>2281</v>
      </c>
      <c r="H3" s="799"/>
      <c r="I3" s="799"/>
      <c r="J3" s="799"/>
      <c r="K3" s="799"/>
      <c r="L3" s="799"/>
      <c r="M3" s="799"/>
      <c r="N3" s="799"/>
      <c r="O3" s="799"/>
      <c r="P3" s="799"/>
      <c r="Q3" s="799"/>
      <c r="R3" s="799"/>
    </row>
    <row r="4" spans="1:29" ht="36.75">
      <c r="A4" s="2438"/>
      <c r="B4" s="323" t="s">
        <v>2250</v>
      </c>
      <c r="C4" s="2464" t="s">
        <v>2251</v>
      </c>
      <c r="D4" s="2461"/>
      <c r="E4" s="2465"/>
      <c r="F4" s="1371" t="s">
        <v>2252</v>
      </c>
      <c r="G4" s="2466" t="s">
        <v>2253</v>
      </c>
      <c r="H4" s="799"/>
      <c r="I4" s="799"/>
      <c r="J4" s="799"/>
      <c r="K4" s="799"/>
      <c r="L4" s="799"/>
      <c r="M4" s="799"/>
      <c r="N4" s="799"/>
      <c r="O4" s="799"/>
      <c r="P4" s="799"/>
      <c r="Q4" s="799"/>
      <c r="R4" s="799"/>
    </row>
    <row r="5" spans="1:29" ht="36.75">
      <c r="A5" s="2438"/>
      <c r="B5" s="323" t="s">
        <v>2254</v>
      </c>
      <c r="C5" s="2464" t="s">
        <v>2255</v>
      </c>
      <c r="D5" s="2461"/>
      <c r="E5" s="2465"/>
      <c r="F5" s="323" t="s">
        <v>2256</v>
      </c>
      <c r="G5" s="2466" t="s">
        <v>2257</v>
      </c>
      <c r="H5" s="799"/>
      <c r="I5" s="799"/>
      <c r="J5" s="799"/>
      <c r="K5" s="799"/>
      <c r="L5" s="799"/>
      <c r="M5" s="799"/>
      <c r="N5" s="799"/>
      <c r="O5" s="799"/>
      <c r="P5" s="799"/>
      <c r="Q5" s="799"/>
      <c r="R5" s="799"/>
    </row>
    <row r="6" spans="1:29" ht="36">
      <c r="A6" s="2438"/>
      <c r="B6" s="323" t="s">
        <v>2258</v>
      </c>
      <c r="C6" s="2466" t="s">
        <v>2253</v>
      </c>
      <c r="D6" s="2461"/>
      <c r="E6" s="2465"/>
      <c r="F6" s="323" t="s">
        <v>2259</v>
      </c>
      <c r="G6" s="2466" t="s">
        <v>2260</v>
      </c>
      <c r="H6" s="799"/>
      <c r="I6" s="799"/>
      <c r="J6" s="799"/>
      <c r="K6" s="799"/>
      <c r="L6" s="799"/>
      <c r="M6" s="799"/>
      <c r="N6" s="799"/>
      <c r="O6" s="799"/>
      <c r="P6" s="799"/>
      <c r="Q6" s="799"/>
      <c r="R6" s="799"/>
    </row>
    <row r="7" spans="1:29" ht="24.75" thickBot="1">
      <c r="A7" s="2438"/>
      <c r="B7" s="323" t="s">
        <v>2256</v>
      </c>
      <c r="C7" s="2466" t="s">
        <v>2257</v>
      </c>
      <c r="D7" s="2467"/>
      <c r="E7" s="2468"/>
      <c r="F7" s="2469" t="s">
        <v>2261</v>
      </c>
      <c r="G7" s="2470" t="s">
        <v>2262</v>
      </c>
      <c r="H7" s="799"/>
      <c r="I7" s="799"/>
      <c r="J7" s="799"/>
      <c r="K7" s="799"/>
      <c r="L7" s="799"/>
      <c r="M7" s="799"/>
      <c r="N7" s="799"/>
      <c r="O7" s="799"/>
      <c r="P7" s="799"/>
      <c r="Q7" s="799"/>
      <c r="R7" s="799"/>
    </row>
    <row r="8" spans="1:29">
      <c r="A8" s="2438"/>
      <c r="B8" s="323" t="s">
        <v>2259</v>
      </c>
      <c r="C8" s="2466" t="s">
        <v>2260</v>
      </c>
      <c r="D8" s="2467"/>
      <c r="E8" s="2467"/>
      <c r="F8" s="2471"/>
      <c r="G8" s="2471"/>
      <c r="H8" s="799"/>
      <c r="I8" s="799"/>
      <c r="J8" s="799"/>
      <c r="K8" s="799"/>
      <c r="L8" s="799"/>
      <c r="M8" s="799"/>
      <c r="N8" s="799"/>
      <c r="O8" s="799"/>
      <c r="P8" s="799"/>
      <c r="Q8" s="799"/>
      <c r="R8" s="799"/>
    </row>
    <row r="9" spans="1:29" ht="24">
      <c r="A9" s="2438"/>
      <c r="B9" s="323" t="s">
        <v>2263</v>
      </c>
      <c r="C9" s="2464" t="s">
        <v>2264</v>
      </c>
      <c r="D9" s="2461"/>
      <c r="E9" s="2467"/>
      <c r="F9" s="2471"/>
      <c r="G9" s="2471"/>
      <c r="H9" s="799"/>
      <c r="I9" s="799"/>
      <c r="J9" s="799"/>
      <c r="K9" s="799"/>
      <c r="L9" s="799"/>
      <c r="M9" s="799"/>
      <c r="N9" s="799"/>
      <c r="O9" s="799"/>
      <c r="P9" s="799"/>
      <c r="Q9" s="799"/>
      <c r="R9" s="799"/>
    </row>
    <row r="10" spans="1:29" s="2477" customFormat="1" ht="15" thickBot="1">
      <c r="A10" s="2439"/>
      <c r="B10" s="2472" t="s">
        <v>2265</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2283</v>
      </c>
      <c r="B13" s="2480"/>
      <c r="C13" s="2480"/>
      <c r="D13" s="2478"/>
      <c r="E13" s="2480"/>
      <c r="F13" s="2480"/>
      <c r="G13" s="2480"/>
    </row>
    <row r="14" spans="1:29" ht="15" thickBot="1">
      <c r="A14" s="2490"/>
      <c r="B14" s="2490"/>
      <c r="C14" s="2491" t="s">
        <v>2266</v>
      </c>
      <c r="D14" s="2461"/>
      <c r="E14" s="2492"/>
      <c r="F14" s="2492"/>
      <c r="G14" s="2456" t="s">
        <v>2267</v>
      </c>
    </row>
    <row r="15" spans="1:29" ht="51">
      <c r="A15" s="2440" t="s">
        <v>2268</v>
      </c>
      <c r="B15" s="2493" t="s">
        <v>2248</v>
      </c>
      <c r="C15" s="2494" t="str">
        <f>C3</f>
        <v>估价对象周边居住用地比例、居住小区规模和社区发展完善程度，综合评价居住社区成熟度一般</v>
      </c>
      <c r="D15" s="2461"/>
      <c r="E15" s="2441" t="s">
        <v>2269</v>
      </c>
      <c r="F15" s="2493" t="s">
        <v>2270</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2252</v>
      </c>
      <c r="G16" s="2499" t="str">
        <f>G4</f>
        <v>估价对象周边道路状况、公共交通通达情况、停车便捷程度，综合评价交通便捷度较好</v>
      </c>
    </row>
    <row r="17" spans="1:18" ht="38.25">
      <c r="A17" s="2442"/>
      <c r="B17" s="2496" t="s">
        <v>2254</v>
      </c>
      <c r="C17" s="2497" t="str">
        <f>C5</f>
        <v>估价对象位于XX商圈，周边办公楼项目较多，入驻率高，办公集聚程度较好</v>
      </c>
      <c r="D17" s="2467"/>
      <c r="E17" s="2443"/>
      <c r="F17" s="2498" t="s">
        <v>2271</v>
      </c>
      <c r="G17" s="2500"/>
    </row>
    <row r="18" spans="1:18" ht="38.25">
      <c r="A18" s="2442"/>
      <c r="B18" s="2498" t="s">
        <v>2258</v>
      </c>
      <c r="C18" s="2499" t="str">
        <f>C6</f>
        <v>估价对象周边道路状况、公共交通通达情况、停车便捷程度，综合评价交通便捷度较好</v>
      </c>
      <c r="D18" s="2467"/>
      <c r="E18" s="2443"/>
      <c r="F18" s="2498" t="s">
        <v>2261</v>
      </c>
      <c r="G18" s="2499" t="str">
        <f>G7</f>
        <v>该园区内是否有污染型企业，绿化情况，卫生条件，整体环境状况判断</v>
      </c>
    </row>
    <row r="19" spans="1:18" ht="25.5">
      <c r="A19" s="2442"/>
      <c r="B19" s="2498" t="s">
        <v>2272</v>
      </c>
      <c r="C19" s="2500"/>
      <c r="D19" s="2461"/>
      <c r="E19" s="2443"/>
      <c r="F19" s="323" t="s">
        <v>2256</v>
      </c>
      <c r="G19" s="2499" t="str">
        <f>G5</f>
        <v>估价对象所在区域公共配套设施齐备情况</v>
      </c>
    </row>
    <row r="20" spans="1:18" ht="25.5">
      <c r="A20" s="2442"/>
      <c r="B20" s="2498" t="s">
        <v>2273</v>
      </c>
      <c r="C20" s="2497" t="str">
        <f>C9</f>
        <v>区域自然环境：；人文环境；综合评价环境状况一般</v>
      </c>
      <c r="D20" s="2467"/>
      <c r="E20" s="2443"/>
      <c r="F20" s="323" t="s">
        <v>2259</v>
      </c>
      <c r="G20" s="2499" t="str">
        <f>G6</f>
        <v>估价对象所在区域基础设施水平</v>
      </c>
    </row>
    <row r="21" spans="1:18" ht="25.5">
      <c r="A21" s="2442"/>
      <c r="B21" s="323" t="s">
        <v>2256</v>
      </c>
      <c r="C21" s="2499" t="str">
        <f>C7</f>
        <v>估价对象所在区域公共配套设施齐备情况</v>
      </c>
      <c r="D21" s="2461"/>
      <c r="E21" s="2443"/>
      <c r="F21" s="2498" t="s">
        <v>2274</v>
      </c>
      <c r="G21" s="2501"/>
    </row>
    <row r="22" spans="1:18" ht="13.5" customHeight="1">
      <c r="A22" s="2442"/>
      <c r="B22" s="323" t="s">
        <v>2259</v>
      </c>
      <c r="C22" s="2499" t="str">
        <f>C8</f>
        <v>估价对象所在区域基础设施水平</v>
      </c>
      <c r="D22" s="2461"/>
      <c r="E22" s="2443"/>
      <c r="F22" s="2498" t="s">
        <v>2265</v>
      </c>
      <c r="G22" s="2500"/>
    </row>
    <row r="23" spans="1:18" s="799" customFormat="1" ht="15" thickBot="1">
      <c r="A23" s="2442"/>
      <c r="B23" s="2498" t="s">
        <v>2274</v>
      </c>
      <c r="C23" s="2501"/>
      <c r="D23" s="1739"/>
      <c r="E23" s="2444"/>
      <c r="F23" s="2502" t="s">
        <v>2275</v>
      </c>
      <c r="G23" s="2503"/>
      <c r="H23" s="2487"/>
      <c r="I23" s="2488"/>
      <c r="J23" s="2487"/>
      <c r="K23" s="2487"/>
      <c r="L23" s="2488"/>
      <c r="M23" s="2487"/>
      <c r="N23" s="2487"/>
      <c r="O23" s="2488"/>
      <c r="P23" s="2487"/>
      <c r="Q23" s="2487"/>
      <c r="R23" s="2489"/>
    </row>
    <row r="24" spans="1:18" s="799" customFormat="1" ht="15" thickBot="1">
      <c r="A24" s="2445"/>
      <c r="B24" s="2502" t="s">
        <v>2276</v>
      </c>
      <c r="C24" s="2504">
        <f>C10</f>
        <v>0</v>
      </c>
      <c r="D24" s="1739"/>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33"/>
  <sheetViews>
    <sheetView workbookViewId="0">
      <pane xSplit="4" ySplit="10" topLeftCell="E11" activePane="bottomRight" state="frozen"/>
      <selection pane="topRight" activeCell="E1" sqref="E1"/>
      <selection pane="bottomLeft" activeCell="A11" sqref="A11"/>
      <selection pane="bottomRight" activeCell="L11" sqref="L11:L23"/>
    </sheetView>
  </sheetViews>
  <sheetFormatPr defaultRowHeight="13.5"/>
  <cols>
    <col min="1" max="1" width="11.75" style="3498" customWidth="1"/>
    <col min="2" max="2" width="11.375" style="3498" customWidth="1"/>
    <col min="3" max="3" width="9" style="3498"/>
    <col min="4" max="4" width="14.25" style="3498" customWidth="1"/>
    <col min="5" max="5" width="10.875" style="3498" customWidth="1"/>
    <col min="6" max="6" width="19.875" style="3498" customWidth="1"/>
    <col min="7" max="7" width="12.5" style="3498" customWidth="1"/>
    <col min="8" max="8" width="12.75" style="3498" customWidth="1"/>
    <col min="9" max="9" width="13.375" style="3498" customWidth="1"/>
    <col min="10" max="10" width="16.375" style="3498" customWidth="1"/>
    <col min="11" max="11" width="12.5" style="3498" hidden="1" customWidth="1"/>
    <col min="12" max="12" width="16.375" style="3500" customWidth="1"/>
    <col min="13" max="13" width="9.5" style="3498" bestFit="1" customWidth="1"/>
    <col min="14" max="14" width="15" style="3498" bestFit="1" customWidth="1"/>
    <col min="15" max="15" width="9" style="3498"/>
    <col min="16" max="16" width="10.5" style="3498" bestFit="1" customWidth="1"/>
    <col min="17" max="17" width="10.5" style="3498" customWidth="1"/>
    <col min="18" max="18" width="10.25" style="3498" customWidth="1"/>
    <col min="19" max="19" width="11.625" style="3498" customWidth="1"/>
    <col min="20" max="16384" width="9" style="3498"/>
  </cols>
  <sheetData>
    <row r="2" spans="1:19">
      <c r="D2" s="3499" t="s">
        <v>3459</v>
      </c>
      <c r="E2" s="3499" t="s">
        <v>3460</v>
      </c>
      <c r="F2" s="3499" t="s">
        <v>3764</v>
      </c>
      <c r="G2" s="3499" t="s">
        <v>3457</v>
      </c>
      <c r="H2" s="3499" t="s">
        <v>3458</v>
      </c>
      <c r="I2" s="3499" t="s">
        <v>3464</v>
      </c>
      <c r="J2" s="3499" t="s">
        <v>3765</v>
      </c>
    </row>
    <row r="3" spans="1:19">
      <c r="A3" s="3499" t="s">
        <v>3461</v>
      </c>
      <c r="B3" s="3499" t="s">
        <v>3462</v>
      </c>
      <c r="C3" s="3499" t="s">
        <v>3455</v>
      </c>
      <c r="D3" s="3498">
        <v>246244.13</v>
      </c>
      <c r="E3" s="3498">
        <v>222995.58</v>
      </c>
      <c r="F3" s="3498">
        <f>G3+H3</f>
        <v>252707.98</v>
      </c>
      <c r="G3" s="3498">
        <v>251820.2</v>
      </c>
      <c r="H3" s="3498">
        <v>887.78</v>
      </c>
      <c r="I3" s="3501">
        <f>G3/E3</f>
        <v>1.1292609476833577</v>
      </c>
      <c r="J3" s="3499">
        <v>251879.96</v>
      </c>
    </row>
    <row r="4" spans="1:19">
      <c r="A4" s="3498">
        <v>242044.6</v>
      </c>
      <c r="B4" s="3498">
        <v>270951.53999999998</v>
      </c>
      <c r="C4" s="3499" t="s">
        <v>3456</v>
      </c>
      <c r="D4" s="3498">
        <v>20459.169999999998</v>
      </c>
      <c r="E4" s="3498">
        <v>19049.22</v>
      </c>
      <c r="F4" s="3498">
        <f>G4+H4</f>
        <v>22055.81</v>
      </c>
      <c r="G4" s="3498">
        <v>22055.81</v>
      </c>
      <c r="I4" s="3501">
        <f>G4/E4</f>
        <v>1.1578327091607949</v>
      </c>
      <c r="J4" s="3498">
        <v>22056.400000000001</v>
      </c>
    </row>
    <row r="5" spans="1:19">
      <c r="D5" s="3498">
        <f>D3+D4</f>
        <v>266703.3</v>
      </c>
      <c r="E5" s="3498">
        <f>E3+E4</f>
        <v>242044.79999999999</v>
      </c>
      <c r="F5" s="3498">
        <f>F3+F4</f>
        <v>274763.79000000004</v>
      </c>
      <c r="G5" s="3498">
        <f>G3+G4</f>
        <v>273876.01</v>
      </c>
      <c r="J5" s="3498">
        <f>SUM(J3:J4)</f>
        <v>273936.36</v>
      </c>
    </row>
    <row r="6" spans="1:19">
      <c r="A6" s="3502"/>
      <c r="B6" s="3502"/>
    </row>
    <row r="7" spans="1:19">
      <c r="E7" s="3498">
        <f>A4-E5</f>
        <v>-0.1999999999825377</v>
      </c>
      <c r="G7" s="3498">
        <f>B4-G5</f>
        <v>-2924.4700000000303</v>
      </c>
    </row>
    <row r="9" spans="1:19">
      <c r="A9" s="3499"/>
      <c r="B9" s="3499"/>
    </row>
    <row r="10" spans="1:19" ht="27">
      <c r="C10" s="3503"/>
      <c r="D10" s="3504" t="s">
        <v>3775</v>
      </c>
      <c r="E10" s="3505" t="s">
        <v>3766</v>
      </c>
      <c r="F10" s="3504" t="s">
        <v>3769</v>
      </c>
      <c r="G10" s="3504" t="s">
        <v>3472</v>
      </c>
      <c r="H10" s="3504" t="s">
        <v>3473</v>
      </c>
      <c r="I10" s="3504" t="s">
        <v>3476</v>
      </c>
      <c r="J10" s="3505" t="s">
        <v>3770</v>
      </c>
      <c r="K10" s="3505" t="s">
        <v>3799</v>
      </c>
      <c r="L10" s="3877" t="s">
        <v>3814</v>
      </c>
      <c r="M10" s="3504" t="s">
        <v>3478</v>
      </c>
      <c r="N10" s="3504" t="s">
        <v>3479</v>
      </c>
      <c r="O10" s="3504" t="s">
        <v>3481</v>
      </c>
      <c r="P10" s="3504" t="s">
        <v>3355</v>
      </c>
      <c r="Q10" s="3504" t="s">
        <v>3771</v>
      </c>
      <c r="R10" s="3504" t="s">
        <v>3804</v>
      </c>
      <c r="S10" s="3505" t="s">
        <v>3772</v>
      </c>
    </row>
    <row r="11" spans="1:19" ht="65.25" customHeight="1">
      <c r="C11" s="3610" t="s">
        <v>3465</v>
      </c>
      <c r="D11" s="3505" t="s">
        <v>3776</v>
      </c>
      <c r="E11" s="3503">
        <v>23.41</v>
      </c>
      <c r="F11" s="3504" t="s">
        <v>3470</v>
      </c>
      <c r="G11" s="3503">
        <v>336</v>
      </c>
      <c r="H11" s="3504" t="s">
        <v>3474</v>
      </c>
      <c r="I11" s="3506">
        <f>336*83.49+336*35</f>
        <v>39812.639999999999</v>
      </c>
      <c r="J11" s="3507" t="s">
        <v>3773</v>
      </c>
      <c r="K11" s="3506">
        <f>I11*2</f>
        <v>79625.279999999999</v>
      </c>
      <c r="L11" s="3878">
        <v>70976.759999999995</v>
      </c>
      <c r="M11" s="3508">
        <v>2500</v>
      </c>
      <c r="N11" s="3508">
        <f>L11*M11</f>
        <v>177441900</v>
      </c>
      <c r="O11" s="3509">
        <v>0.6</v>
      </c>
      <c r="P11" s="3508">
        <f>O11*L11</f>
        <v>42586.055999999997</v>
      </c>
      <c r="Q11" s="3503">
        <v>74599.320000000007</v>
      </c>
      <c r="R11" s="3503">
        <f>39816+28056+288+3936</f>
        <v>72096</v>
      </c>
      <c r="S11" s="3882">
        <v>58392.849000000002</v>
      </c>
    </row>
    <row r="12" spans="1:19" ht="54">
      <c r="C12" s="3610"/>
      <c r="D12" s="3505" t="s">
        <v>3777</v>
      </c>
      <c r="E12" s="3503">
        <v>23.47</v>
      </c>
      <c r="F12" s="3504" t="s">
        <v>3470</v>
      </c>
      <c r="G12" s="3504">
        <v>336.03</v>
      </c>
      <c r="H12" s="3504" t="s">
        <v>3475</v>
      </c>
      <c r="I12" s="3506">
        <f>336.03*83.5+336.03*34.99</f>
        <v>39816.194699999993</v>
      </c>
      <c r="J12" s="3507" t="s">
        <v>3773</v>
      </c>
      <c r="K12" s="3506">
        <f t="shared" ref="K12:K14" si="0">I12*2</f>
        <v>79632.389399999985</v>
      </c>
      <c r="L12" s="3878">
        <f>L11</f>
        <v>70976.759999999995</v>
      </c>
      <c r="M12" s="3508">
        <f>M11</f>
        <v>2500</v>
      </c>
      <c r="N12" s="3508">
        <f t="shared" ref="N12:N22" si="1">L12*M12</f>
        <v>177441900</v>
      </c>
      <c r="O12" s="3509">
        <f>O11</f>
        <v>0.6</v>
      </c>
      <c r="P12" s="3508">
        <f t="shared" ref="P12:P22" si="2">O12*L12</f>
        <v>42586.055999999997</v>
      </c>
      <c r="Q12" s="3503">
        <v>77795.259999999995</v>
      </c>
      <c r="R12" s="3503">
        <f>39816+28056+288+3936</f>
        <v>72096</v>
      </c>
      <c r="S12" s="3883"/>
    </row>
    <row r="13" spans="1:19" ht="54">
      <c r="C13" s="3610"/>
      <c r="D13" s="3505" t="s">
        <v>3778</v>
      </c>
      <c r="E13" s="3503">
        <v>23.41</v>
      </c>
      <c r="F13" s="3504" t="s">
        <v>3469</v>
      </c>
      <c r="G13" s="3503">
        <v>181.2</v>
      </c>
      <c r="H13" s="3503">
        <v>95.98</v>
      </c>
      <c r="I13" s="3506">
        <f>G13*H13</f>
        <v>17391.576000000001</v>
      </c>
      <c r="J13" s="3507" t="s">
        <v>3780</v>
      </c>
      <c r="K13" s="3506">
        <f t="shared" si="0"/>
        <v>34783.152000000002</v>
      </c>
      <c r="L13" s="3878">
        <v>35447.160000000003</v>
      </c>
      <c r="M13" s="3508">
        <f>M11</f>
        <v>2500</v>
      </c>
      <c r="N13" s="3508">
        <f t="shared" si="1"/>
        <v>88617900.000000015</v>
      </c>
      <c r="O13" s="3509">
        <f>O11</f>
        <v>0.6</v>
      </c>
      <c r="P13" s="3508">
        <f t="shared" si="2"/>
        <v>21268.296000000002</v>
      </c>
      <c r="Q13" s="3503">
        <v>36122.699999999997</v>
      </c>
      <c r="R13" s="3503">
        <f>16920+16920+288+672+720</f>
        <v>35520</v>
      </c>
      <c r="S13" s="3883"/>
    </row>
    <row r="14" spans="1:19" ht="54">
      <c r="C14" s="3610"/>
      <c r="D14" s="3505" t="s">
        <v>3779</v>
      </c>
      <c r="E14" s="3503">
        <v>23.16</v>
      </c>
      <c r="F14" s="3504" t="s">
        <v>3468</v>
      </c>
      <c r="G14" s="3503">
        <v>193.5</v>
      </c>
      <c r="H14" s="3503">
        <v>96</v>
      </c>
      <c r="I14" s="3506">
        <f t="shared" ref="I14:I16" si="3">G14*H14</f>
        <v>18576</v>
      </c>
      <c r="J14" s="3507" t="s">
        <v>3774</v>
      </c>
      <c r="K14" s="3506">
        <f t="shared" si="0"/>
        <v>37152</v>
      </c>
      <c r="L14" s="3878">
        <v>37641.08</v>
      </c>
      <c r="M14" s="3508">
        <f>M11</f>
        <v>2500</v>
      </c>
      <c r="N14" s="3508">
        <f t="shared" si="1"/>
        <v>94102700</v>
      </c>
      <c r="O14" s="3509">
        <f>O11</f>
        <v>0.6</v>
      </c>
      <c r="P14" s="3508">
        <f t="shared" si="2"/>
        <v>22584.648000000001</v>
      </c>
      <c r="Q14" s="3503">
        <v>38365.800000000003</v>
      </c>
      <c r="R14" s="3503">
        <f>19176+19176+288+768+816</f>
        <v>40224</v>
      </c>
      <c r="S14" s="3883"/>
    </row>
    <row r="15" spans="1:19" ht="40.5">
      <c r="C15" s="3610"/>
      <c r="D15" s="3505" t="s">
        <v>3816</v>
      </c>
      <c r="E15" s="3503">
        <v>19.420000000000002</v>
      </c>
      <c r="F15" s="3504" t="s">
        <v>3471</v>
      </c>
      <c r="G15" s="3503">
        <v>70.349999999999994</v>
      </c>
      <c r="H15" s="3503">
        <v>20.07</v>
      </c>
      <c r="I15" s="3506">
        <f t="shared" si="3"/>
        <v>1411.9244999999999</v>
      </c>
      <c r="J15" s="3507" t="s">
        <v>3781</v>
      </c>
      <c r="K15" s="3506">
        <f>I15*5</f>
        <v>7059.6224999999995</v>
      </c>
      <c r="L15" s="3878">
        <v>7012.28</v>
      </c>
      <c r="M15" s="3508">
        <v>3200</v>
      </c>
      <c r="N15" s="3508">
        <f t="shared" si="1"/>
        <v>22439296</v>
      </c>
      <c r="O15" s="3509">
        <v>0.9</v>
      </c>
      <c r="P15" s="3508">
        <f t="shared" si="2"/>
        <v>6311.0519999999997</v>
      </c>
      <c r="Q15" s="3503">
        <v>6989</v>
      </c>
      <c r="R15" s="3612">
        <v>12250</v>
      </c>
      <c r="S15" s="3883"/>
    </row>
    <row r="16" spans="1:19" ht="40.5">
      <c r="C16" s="3610"/>
      <c r="D16" s="3505" t="s">
        <v>3817</v>
      </c>
      <c r="E16" s="3503">
        <v>18.989999999999998</v>
      </c>
      <c r="F16" s="3504" t="s">
        <v>3471</v>
      </c>
      <c r="G16" s="3503">
        <v>70.349999999999994</v>
      </c>
      <c r="H16" s="3503">
        <v>20.09</v>
      </c>
      <c r="I16" s="3506">
        <f t="shared" si="3"/>
        <v>1413.3314999999998</v>
      </c>
      <c r="J16" s="3507" t="s">
        <v>3781</v>
      </c>
      <c r="K16" s="3506">
        <f>I16*5</f>
        <v>7066.6574999999993</v>
      </c>
      <c r="L16" s="3878">
        <f>L15</f>
        <v>7012.28</v>
      </c>
      <c r="M16" s="3508">
        <f>M15</f>
        <v>3200</v>
      </c>
      <c r="N16" s="3508">
        <f t="shared" si="1"/>
        <v>22439296</v>
      </c>
      <c r="O16" s="3509">
        <f>O15</f>
        <v>0.9</v>
      </c>
      <c r="P16" s="3508">
        <f t="shared" si="2"/>
        <v>6311.0519999999997</v>
      </c>
      <c r="Q16" s="3503">
        <v>6989</v>
      </c>
      <c r="R16" s="3613"/>
      <c r="S16" s="3883"/>
    </row>
    <row r="17" spans="3:19" ht="54">
      <c r="C17" s="3610"/>
      <c r="D17" s="3505" t="s">
        <v>3815</v>
      </c>
      <c r="E17" s="3503">
        <v>6.16</v>
      </c>
      <c r="F17" s="3504" t="s">
        <v>3467</v>
      </c>
      <c r="G17" s="3503"/>
      <c r="H17" s="3503"/>
      <c r="I17" s="3506"/>
      <c r="J17" s="3507" t="s">
        <v>3782</v>
      </c>
      <c r="K17" s="3611">
        <f>270951.54-263779.1</f>
        <v>7172.4400000000023</v>
      </c>
      <c r="L17" s="3878">
        <v>207.6</v>
      </c>
      <c r="M17" s="3508">
        <v>1800</v>
      </c>
      <c r="N17" s="3508">
        <f t="shared" si="1"/>
        <v>373680</v>
      </c>
      <c r="O17" s="3509"/>
      <c r="P17" s="3508">
        <f t="shared" si="2"/>
        <v>0</v>
      </c>
      <c r="Q17" s="3503">
        <v>225.2</v>
      </c>
      <c r="R17" s="3503"/>
      <c r="S17" s="3883"/>
    </row>
    <row r="18" spans="3:19">
      <c r="C18" s="3610"/>
      <c r="D18" s="3505" t="s">
        <v>3819</v>
      </c>
      <c r="E18" s="3503">
        <v>4.57</v>
      </c>
      <c r="F18" s="3504" t="s">
        <v>3467</v>
      </c>
      <c r="G18" s="3503"/>
      <c r="H18" s="3503"/>
      <c r="I18" s="3506"/>
      <c r="J18" s="3506">
        <v>4.57</v>
      </c>
      <c r="K18" s="3611"/>
      <c r="L18" s="3878">
        <v>29.01</v>
      </c>
      <c r="M18" s="3508">
        <v>1400</v>
      </c>
      <c r="N18" s="3508">
        <f t="shared" si="1"/>
        <v>40614</v>
      </c>
      <c r="O18" s="3509"/>
      <c r="P18" s="3508">
        <f t="shared" si="2"/>
        <v>0</v>
      </c>
      <c r="Q18" s="3503">
        <v>1519.19</v>
      </c>
      <c r="R18" s="3503"/>
      <c r="S18" s="3883"/>
    </row>
    <row r="19" spans="3:19" ht="27">
      <c r="C19" s="3610"/>
      <c r="D19" s="3505" t="s">
        <v>3818</v>
      </c>
      <c r="E19" s="3503">
        <v>5.35</v>
      </c>
      <c r="F19" s="3504" t="s">
        <v>3727</v>
      </c>
      <c r="G19" s="3503"/>
      <c r="H19" s="3503"/>
      <c r="I19" s="3506"/>
      <c r="J19" s="3506">
        <v>5.35</v>
      </c>
      <c r="K19" s="3611"/>
      <c r="L19" s="3878">
        <v>1355.72</v>
      </c>
      <c r="M19" s="3508">
        <v>1400</v>
      </c>
      <c r="N19" s="3508">
        <f t="shared" si="1"/>
        <v>1898008</v>
      </c>
      <c r="O19" s="3509"/>
      <c r="P19" s="3508">
        <f t="shared" si="2"/>
        <v>0</v>
      </c>
      <c r="Q19" s="3503"/>
      <c r="R19" s="3503"/>
      <c r="S19" s="3883"/>
    </row>
    <row r="20" spans="3:19" ht="27">
      <c r="C20" s="3610"/>
      <c r="D20" s="3505" t="s">
        <v>3768</v>
      </c>
      <c r="E20" s="3503"/>
      <c r="F20" s="3504"/>
      <c r="G20" s="3503"/>
      <c r="H20" s="3503"/>
      <c r="I20" s="3506"/>
      <c r="J20" s="3506"/>
      <c r="K20" s="3611"/>
      <c r="L20" s="3878">
        <f>2189.18+1358.49+11116.82</f>
        <v>14664.49</v>
      </c>
      <c r="M20" s="3508">
        <v>1200</v>
      </c>
      <c r="N20" s="3508">
        <f t="shared" si="1"/>
        <v>17597388</v>
      </c>
      <c r="O20" s="3509"/>
      <c r="P20" s="3508">
        <f t="shared" si="2"/>
        <v>0</v>
      </c>
      <c r="Q20" s="3504">
        <f>2339.64+7826.15</f>
        <v>10165.789999999999</v>
      </c>
      <c r="R20" s="3503"/>
      <c r="S20" s="3883"/>
    </row>
    <row r="21" spans="3:19" ht="27">
      <c r="C21" s="3610"/>
      <c r="D21" s="3505" t="s">
        <v>3767</v>
      </c>
      <c r="E21" s="3503">
        <v>3</v>
      </c>
      <c r="F21" s="3504" t="s">
        <v>3726</v>
      </c>
      <c r="G21" s="3503"/>
      <c r="H21" s="3503"/>
      <c r="I21" s="3506"/>
      <c r="J21" s="3506"/>
      <c r="K21" s="3611"/>
      <c r="L21" s="3878">
        <f>656.24+656.24+301.49+453.6</f>
        <v>2067.5700000000002</v>
      </c>
      <c r="M21" s="3508">
        <v>1400</v>
      </c>
      <c r="N21" s="3508">
        <f t="shared" si="1"/>
        <v>2894598</v>
      </c>
      <c r="O21" s="3509">
        <f>O11</f>
        <v>0.6</v>
      </c>
      <c r="P21" s="3508">
        <f t="shared" si="2"/>
        <v>1240.5420000000001</v>
      </c>
      <c r="Q21" s="3503"/>
      <c r="R21" s="3503">
        <v>1662</v>
      </c>
      <c r="S21" s="3884"/>
    </row>
    <row r="22" spans="3:19">
      <c r="C22" s="3504" t="s">
        <v>3456</v>
      </c>
      <c r="D22" s="3504" t="s">
        <v>3466</v>
      </c>
      <c r="E22" s="3503">
        <v>23.98</v>
      </c>
      <c r="F22" s="3504" t="s">
        <v>3728</v>
      </c>
      <c r="G22" s="3503">
        <v>132</v>
      </c>
      <c r="H22" s="3503">
        <v>70</v>
      </c>
      <c r="I22" s="3506">
        <f>G22*H22</f>
        <v>9240</v>
      </c>
      <c r="J22" s="3510" t="s">
        <v>3783</v>
      </c>
      <c r="K22" s="3506">
        <f>I22*2</f>
        <v>18480</v>
      </c>
      <c r="L22" s="3878">
        <v>23560.83</v>
      </c>
      <c r="M22" s="3508">
        <f>M11</f>
        <v>2500</v>
      </c>
      <c r="N22" s="3508">
        <f t="shared" si="1"/>
        <v>58902075.000000007</v>
      </c>
      <c r="O22" s="3509">
        <f>O11</f>
        <v>0.6</v>
      </c>
      <c r="P22" s="3508">
        <f t="shared" si="2"/>
        <v>14136.498000000001</v>
      </c>
      <c r="Q22" s="3503">
        <v>22056.400000000001</v>
      </c>
      <c r="R22" s="3503">
        <v>6167.2</v>
      </c>
      <c r="S22" s="3503">
        <v>4469.3176000000003</v>
      </c>
    </row>
    <row r="23" spans="3:19">
      <c r="C23" s="3504" t="s">
        <v>3477</v>
      </c>
      <c r="D23" s="3503"/>
      <c r="E23" s="3503"/>
      <c r="F23" s="3503"/>
      <c r="G23" s="3503"/>
      <c r="H23" s="3503"/>
      <c r="I23" s="3506">
        <f>SUM(I11:I22)</f>
        <v>127661.66669999999</v>
      </c>
      <c r="J23" s="3506"/>
      <c r="K23" s="3506">
        <f>SUM(K11:K22)</f>
        <v>270971.54139999999</v>
      </c>
      <c r="L23" s="3878">
        <f>SUM(L11:L22)</f>
        <v>270951.54000000004</v>
      </c>
      <c r="M23" s="3508">
        <f>N23/L23</f>
        <v>2451.3215721158103</v>
      </c>
      <c r="N23" s="3508">
        <f>SUM(N11:N22)</f>
        <v>664189355</v>
      </c>
      <c r="O23" s="3509">
        <f>P23/L23</f>
        <v>0.57952872310672221</v>
      </c>
      <c r="P23" s="3508">
        <f>SUM(P11:P22)</f>
        <v>157024.19999999998</v>
      </c>
      <c r="Q23" s="3503">
        <f>SUM(Q11:Q22)</f>
        <v>274827.66000000003</v>
      </c>
      <c r="R23" s="3503">
        <f>SUM(R11:R22)</f>
        <v>240015.2</v>
      </c>
      <c r="S23" s="3503">
        <f>S11+S22</f>
        <v>62862.166600000004</v>
      </c>
    </row>
    <row r="24" spans="3:19">
      <c r="J24" s="3511"/>
      <c r="K24" s="3511"/>
      <c r="L24" s="3879"/>
    </row>
    <row r="25" spans="3:19" ht="40.5">
      <c r="J25" s="3880" t="s">
        <v>3820</v>
      </c>
      <c r="K25" s="3880"/>
      <c r="L25" s="3881">
        <f>L11+L12+L13+L14+L15+L16+L22</f>
        <v>252627.15000000002</v>
      </c>
    </row>
    <row r="26" spans="3:19">
      <c r="R26" s="3498">
        <f>R22*2</f>
        <v>12334.4</v>
      </c>
    </row>
    <row r="28" spans="3:19">
      <c r="L28" s="3500">
        <f>25.12/30</f>
        <v>0.83733333333333337</v>
      </c>
    </row>
    <row r="29" spans="3:19">
      <c r="L29" s="3500">
        <f>32.76/30</f>
        <v>1.0919999999999999</v>
      </c>
    </row>
    <row r="33" spans="12:12">
      <c r="L33" s="3500">
        <f>546.39*375.57</f>
        <v>205207.6923</v>
      </c>
    </row>
  </sheetData>
  <mergeCells count="4">
    <mergeCell ref="C11:C21"/>
    <mergeCell ref="K17:K21"/>
    <mergeCell ref="R15:R16"/>
    <mergeCell ref="S11:S21"/>
  </mergeCells>
  <phoneticPr fontId="134"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J11" sqref="J11"/>
    </sheetView>
  </sheetViews>
  <sheetFormatPr defaultRowHeight="13.5"/>
  <cols>
    <col min="1" max="1" width="13.875" style="3250" customWidth="1"/>
    <col min="2" max="2" width="14.75" style="3250" customWidth="1"/>
    <col min="3" max="3" width="15.75" style="3250" customWidth="1"/>
    <col min="4" max="4" width="11.875" style="3250" customWidth="1"/>
    <col min="5" max="5" width="12.25" style="3250" customWidth="1"/>
    <col min="6" max="6" width="11.5" style="3250" customWidth="1"/>
    <col min="7" max="7" width="14.25" style="3250" customWidth="1"/>
    <col min="8" max="8" width="9" style="3250"/>
    <col min="9" max="9" width="8.75" style="3250" customWidth="1"/>
    <col min="10" max="10" width="19" style="3250" customWidth="1"/>
    <col min="11" max="11" width="23" style="3250" customWidth="1"/>
    <col min="12" max="16384" width="9" style="3250"/>
  </cols>
  <sheetData>
    <row r="1" spans="1:11">
      <c r="D1" s="3487"/>
      <c r="E1" s="3487"/>
    </row>
    <row r="3" spans="1:11">
      <c r="A3" s="3470" t="s">
        <v>3733</v>
      </c>
      <c r="B3" s="3470"/>
      <c r="C3" s="3470" t="s">
        <v>3734</v>
      </c>
      <c r="D3" s="3470" t="s">
        <v>3729</v>
      </c>
      <c r="E3" s="3470" t="s">
        <v>3730</v>
      </c>
      <c r="F3" s="3470" t="s">
        <v>3731</v>
      </c>
      <c r="G3" s="3470" t="s">
        <v>3732</v>
      </c>
      <c r="H3" s="3470" t="s">
        <v>3743</v>
      </c>
      <c r="I3" s="3470"/>
      <c r="J3" s="3470" t="s">
        <v>3800</v>
      </c>
      <c r="K3" s="3470" t="s">
        <v>3801</v>
      </c>
    </row>
    <row r="4" spans="1:11" ht="40.5">
      <c r="A4" s="3250">
        <v>270951.53999999998</v>
      </c>
      <c r="B4" s="3512" t="s">
        <v>3802</v>
      </c>
      <c r="C4" s="3250">
        <v>233848</v>
      </c>
      <c r="D4" s="3487">
        <v>45196</v>
      </c>
      <c r="E4" s="3487">
        <v>45351</v>
      </c>
      <c r="F4" s="3488">
        <f>(19807779.76*(1+9%))/C4/I4</f>
        <v>0.59565794429466745</v>
      </c>
      <c r="G4" s="3488">
        <f>(8729007.08*(1+6%))/C4/I4</f>
        <v>0.25527327662523547</v>
      </c>
      <c r="H4" s="3492">
        <f>F4+G4</f>
        <v>0.85093122091990292</v>
      </c>
      <c r="I4" s="3250">
        <f>E4-D4</f>
        <v>155</v>
      </c>
      <c r="J4" s="3470">
        <f>H4*C4*I4</f>
        <v>30843227.443200007</v>
      </c>
      <c r="K4" s="3250">
        <f>F4*C4*I4</f>
        <v>21590479.938400008</v>
      </c>
    </row>
    <row r="5" spans="1:11">
      <c r="D5" s="3487">
        <v>45352</v>
      </c>
      <c r="E5" s="3487">
        <v>47907</v>
      </c>
      <c r="F5" s="3250">
        <v>0.45500000000000002</v>
      </c>
      <c r="G5" s="3250">
        <v>0.19500000000000001</v>
      </c>
      <c r="H5" s="3492">
        <f>F5+G5</f>
        <v>0.65</v>
      </c>
      <c r="J5" s="3250">
        <f>H5*C4*365</f>
        <v>55480438.000000007</v>
      </c>
      <c r="K5" s="3250">
        <f>F5*C4*365</f>
        <v>38836306.600000001</v>
      </c>
    </row>
    <row r="7" spans="1:11" ht="27">
      <c r="B7" s="3512" t="s">
        <v>3807</v>
      </c>
      <c r="C7" s="3250">
        <v>6167.2</v>
      </c>
      <c r="D7" s="3487">
        <v>45374</v>
      </c>
      <c r="E7" s="3513">
        <v>45738</v>
      </c>
      <c r="F7" s="3250">
        <v>0.52500000000000002</v>
      </c>
      <c r="G7" s="3250">
        <v>0.22500000000000001</v>
      </c>
      <c r="H7" s="3250">
        <f>F7+G7</f>
        <v>0.75</v>
      </c>
      <c r="I7" s="3514">
        <f>E7-D7</f>
        <v>364</v>
      </c>
      <c r="J7" s="3470">
        <f>1181789.7+506481.3</f>
        <v>1688271</v>
      </c>
      <c r="K7" s="3250">
        <v>1181789.7</v>
      </c>
    </row>
    <row r="8" spans="1:11">
      <c r="C8" s="3470"/>
      <c r="D8" s="3487"/>
      <c r="E8" s="3487"/>
    </row>
    <row r="9" spans="1:11">
      <c r="H9" s="3250">
        <f>H5*C4</f>
        <v>152001.20000000001</v>
      </c>
    </row>
    <row r="10" spans="1:11">
      <c r="H10" s="3250">
        <f>H7*C7</f>
        <v>4625.3999999999996</v>
      </c>
    </row>
    <row r="11" spans="1:11">
      <c r="G11" s="3250">
        <f>C4+C7</f>
        <v>240015.2</v>
      </c>
      <c r="H11" s="3250">
        <f>H9+H10</f>
        <v>156626.6</v>
      </c>
    </row>
    <row r="12" spans="1:11">
      <c r="G12" s="3250">
        <f>H11/G11</f>
        <v>0.65256950393141766</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workbookViewId="0">
      <selection activeCell="S9" sqref="S9"/>
    </sheetView>
  </sheetViews>
  <sheetFormatPr defaultColWidth="8.875" defaultRowHeight="14.25"/>
  <cols>
    <col min="1" max="1" width="5.375" style="3446" customWidth="1"/>
    <col min="2" max="2" width="11.875" style="3446" customWidth="1"/>
    <col min="3" max="3" width="5.875" style="3446" customWidth="1"/>
    <col min="4" max="8" width="13.5" style="3446" customWidth="1"/>
    <col min="9" max="11" width="11.625" style="3446" customWidth="1"/>
    <col min="12" max="16" width="11.875" style="3446" customWidth="1"/>
    <col min="17" max="18" width="11.5" style="3446" customWidth="1"/>
    <col min="19" max="19" width="9.875" style="3446" bestFit="1" customWidth="1"/>
    <col min="20" max="16384" width="8.875" style="3446"/>
  </cols>
  <sheetData>
    <row r="1" spans="1:23">
      <c r="A1" s="3616"/>
      <c r="B1" s="3616"/>
      <c r="C1" s="3616"/>
      <c r="D1" s="3621" t="s">
        <v>3394</v>
      </c>
      <c r="E1" s="3622"/>
      <c r="F1" s="3622"/>
      <c r="G1" s="3622"/>
      <c r="H1" s="3622"/>
      <c r="I1" s="3614" t="s">
        <v>3395</v>
      </c>
      <c r="J1" s="3623"/>
      <c r="K1" s="3623"/>
      <c r="L1" s="3621" t="s">
        <v>3396</v>
      </c>
      <c r="M1" s="3622"/>
      <c r="N1" s="3622"/>
      <c r="O1" s="3622"/>
      <c r="P1" s="3622"/>
      <c r="Q1" s="3614" t="s">
        <v>3397</v>
      </c>
      <c r="R1" s="3614"/>
      <c r="S1" s="3614"/>
    </row>
    <row r="2" spans="1:23" ht="27.75">
      <c r="A2" s="3615" t="s">
        <v>3398</v>
      </c>
      <c r="B2" s="3615"/>
      <c r="C2" s="3615"/>
      <c r="D2" s="3447" t="s">
        <v>3399</v>
      </c>
      <c r="E2" s="3447" t="s">
        <v>3400</v>
      </c>
      <c r="F2" s="3447" t="s">
        <v>3401</v>
      </c>
      <c r="G2" s="3447" t="s">
        <v>3402</v>
      </c>
      <c r="H2" s="3447" t="s">
        <v>3403</v>
      </c>
      <c r="I2" s="3448" t="s">
        <v>3404</v>
      </c>
      <c r="J2" s="3448" t="s">
        <v>3405</v>
      </c>
      <c r="K2" s="3448" t="s">
        <v>3406</v>
      </c>
      <c r="L2" s="3449" t="s">
        <v>3407</v>
      </c>
      <c r="M2" s="3449" t="s">
        <v>3408</v>
      </c>
      <c r="N2" s="3447" t="s">
        <v>3409</v>
      </c>
      <c r="O2" s="3449" t="s">
        <v>3410</v>
      </c>
      <c r="P2" s="3449" t="s">
        <v>3411</v>
      </c>
      <c r="Q2" s="3448" t="s">
        <v>3412</v>
      </c>
      <c r="R2" s="3448" t="s">
        <v>3413</v>
      </c>
      <c r="S2" s="3448" t="s">
        <v>3414</v>
      </c>
      <c r="V2" s="3450" t="s">
        <v>3415</v>
      </c>
      <c r="W2" s="3446" t="s">
        <v>3416</v>
      </c>
    </row>
    <row r="3" spans="1:23" ht="27.75">
      <c r="A3" s="3615" t="s">
        <v>3417</v>
      </c>
      <c r="B3" s="3615"/>
      <c r="C3" s="3451"/>
      <c r="D3" s="3452" t="s">
        <v>3418</v>
      </c>
      <c r="E3" s="3452" t="s">
        <v>3419</v>
      </c>
      <c r="F3" s="3452" t="s">
        <v>3419</v>
      </c>
      <c r="G3" s="3452" t="s">
        <v>3420</v>
      </c>
      <c r="H3" s="3452" t="s">
        <v>3419</v>
      </c>
      <c r="I3" s="3448" t="s">
        <v>3419</v>
      </c>
      <c r="J3" s="3448" t="s">
        <v>3420</v>
      </c>
      <c r="K3" s="3448" t="s">
        <v>3421</v>
      </c>
      <c r="L3" s="3449" t="s">
        <v>3422</v>
      </c>
      <c r="M3" s="3449" t="s">
        <v>3419</v>
      </c>
      <c r="N3" s="3449" t="s">
        <v>3419</v>
      </c>
      <c r="O3" s="3449" t="s">
        <v>3420</v>
      </c>
      <c r="P3" s="3449" t="s">
        <v>3420</v>
      </c>
      <c r="Q3" s="3448" t="s">
        <v>3423</v>
      </c>
      <c r="R3" s="3448" t="s">
        <v>3423</v>
      </c>
      <c r="S3" s="3448" t="s">
        <v>3424</v>
      </c>
      <c r="V3" s="3450" t="s">
        <v>3419</v>
      </c>
      <c r="W3" s="3450" t="s">
        <v>3425</v>
      </c>
    </row>
    <row r="4" spans="1:23">
      <c r="A4" s="3615"/>
      <c r="B4" s="3615"/>
      <c r="C4" s="3453" t="s">
        <v>3426</v>
      </c>
      <c r="D4" s="3447">
        <v>40</v>
      </c>
      <c r="E4" s="3447">
        <v>26</v>
      </c>
      <c r="F4" s="3447">
        <v>22</v>
      </c>
      <c r="G4" s="3447">
        <v>7</v>
      </c>
      <c r="H4" s="3447">
        <v>20</v>
      </c>
      <c r="I4" s="3454">
        <v>10</v>
      </c>
      <c r="J4" s="3454">
        <v>6</v>
      </c>
      <c r="K4" s="3454">
        <v>3</v>
      </c>
      <c r="L4" s="3447">
        <v>45</v>
      </c>
      <c r="M4" s="3447">
        <v>24</v>
      </c>
      <c r="N4" s="3447">
        <v>20</v>
      </c>
      <c r="O4" s="3447">
        <v>5</v>
      </c>
      <c r="P4" s="3447" t="s">
        <v>3427</v>
      </c>
      <c r="Q4" s="3454" t="s">
        <v>3428</v>
      </c>
      <c r="R4" s="3454" t="s">
        <v>3428</v>
      </c>
      <c r="S4" s="3454">
        <v>1</v>
      </c>
      <c r="V4" s="3446">
        <v>20</v>
      </c>
      <c r="W4" s="3446">
        <v>11</v>
      </c>
    </row>
    <row r="5" spans="1:23">
      <c r="A5" s="3615"/>
      <c r="B5" s="3615"/>
      <c r="C5" s="3453" t="s">
        <v>3429</v>
      </c>
      <c r="D5" s="3447">
        <v>3</v>
      </c>
      <c r="E5" s="3447">
        <v>2</v>
      </c>
      <c r="F5" s="3447">
        <v>2</v>
      </c>
      <c r="G5" s="3447">
        <v>0</v>
      </c>
      <c r="H5" s="3447">
        <v>1</v>
      </c>
      <c r="I5" s="3454">
        <v>2</v>
      </c>
      <c r="J5" s="3454">
        <v>2</v>
      </c>
      <c r="K5" s="3454">
        <v>0</v>
      </c>
      <c r="L5" s="3447">
        <v>3</v>
      </c>
      <c r="M5" s="3447">
        <v>3</v>
      </c>
      <c r="N5" s="3447">
        <v>2</v>
      </c>
      <c r="O5" s="3447">
        <v>0</v>
      </c>
      <c r="P5" s="3447">
        <v>0</v>
      </c>
      <c r="Q5" s="3454">
        <v>0</v>
      </c>
      <c r="R5" s="3454">
        <v>0</v>
      </c>
      <c r="S5" s="3454">
        <v>0</v>
      </c>
      <c r="V5" s="3446">
        <v>3</v>
      </c>
      <c r="W5" s="3446">
        <v>3</v>
      </c>
    </row>
    <row r="6" spans="1:23">
      <c r="A6" s="3615" t="s">
        <v>3430</v>
      </c>
      <c r="B6" s="3615"/>
      <c r="C6" s="3446" t="s">
        <v>3431</v>
      </c>
      <c r="D6" s="3447">
        <v>80000</v>
      </c>
      <c r="E6" s="3447">
        <v>62000</v>
      </c>
      <c r="F6" s="3447">
        <v>36000</v>
      </c>
      <c r="G6" s="3447">
        <v>6000</v>
      </c>
      <c r="H6" s="3447">
        <v>35600</v>
      </c>
      <c r="I6" s="3454">
        <v>67000</v>
      </c>
      <c r="J6" s="3454">
        <v>100000</v>
      </c>
      <c r="K6" s="3454">
        <v>21000</v>
      </c>
      <c r="L6" s="3447">
        <v>124000</v>
      </c>
      <c r="M6" s="3447">
        <v>57000</v>
      </c>
      <c r="N6" s="3447">
        <v>32000</v>
      </c>
      <c r="O6" s="3447">
        <v>22000</v>
      </c>
      <c r="P6" s="3447">
        <v>6400</v>
      </c>
      <c r="Q6" s="3454">
        <v>12000</v>
      </c>
      <c r="R6" s="3454">
        <v>15000</v>
      </c>
      <c r="S6" s="3454">
        <v>10825.55</v>
      </c>
      <c r="V6" s="3446">
        <v>9568.6200000000008</v>
      </c>
      <c r="W6" s="3446">
        <v>9448.7099999999991</v>
      </c>
    </row>
    <row r="7" spans="1:23" s="3453" customFormat="1" ht="12">
      <c r="A7" s="3615"/>
      <c r="B7" s="3615"/>
      <c r="C7" s="3453" t="s">
        <v>3426</v>
      </c>
      <c r="D7" s="3455">
        <v>65000</v>
      </c>
      <c r="E7" s="3455">
        <v>50000</v>
      </c>
      <c r="F7" s="3455">
        <v>28000</v>
      </c>
      <c r="G7" s="3455">
        <v>6000</v>
      </c>
      <c r="H7" s="3455">
        <v>32800</v>
      </c>
      <c r="I7" s="3456">
        <v>52000</v>
      </c>
      <c r="J7" s="3456">
        <v>72000</v>
      </c>
      <c r="K7" s="3456">
        <v>21000</v>
      </c>
      <c r="L7" s="3455">
        <v>100000</v>
      </c>
      <c r="M7" s="3455">
        <v>45000</v>
      </c>
      <c r="N7" s="3455">
        <v>26000</v>
      </c>
      <c r="O7" s="3455">
        <v>22000</v>
      </c>
      <c r="P7" s="3455">
        <v>6400</v>
      </c>
      <c r="Q7" s="3456">
        <v>12000</v>
      </c>
      <c r="R7" s="3456">
        <v>15000</v>
      </c>
      <c r="S7" s="3456">
        <v>10825.55</v>
      </c>
      <c r="V7" s="3453">
        <v>8363.93</v>
      </c>
      <c r="W7" s="3453">
        <v>7417.6</v>
      </c>
    </row>
    <row r="8" spans="1:23" s="3453" customFormat="1" ht="12">
      <c r="A8" s="3615"/>
      <c r="B8" s="3615"/>
      <c r="C8" s="3453" t="s">
        <v>3429</v>
      </c>
      <c r="D8" s="3455">
        <v>15000</v>
      </c>
      <c r="E8" s="3455">
        <v>12000</v>
      </c>
      <c r="F8" s="3455">
        <v>8000</v>
      </c>
      <c r="G8" s="3455">
        <v>0</v>
      </c>
      <c r="H8" s="3455">
        <v>2800</v>
      </c>
      <c r="I8" s="3456">
        <v>15000</v>
      </c>
      <c r="J8" s="3456">
        <v>28000</v>
      </c>
      <c r="K8" s="3456">
        <v>0</v>
      </c>
      <c r="L8" s="3455">
        <v>24000</v>
      </c>
      <c r="M8" s="3455">
        <v>12000</v>
      </c>
      <c r="N8" s="3455">
        <v>6000</v>
      </c>
      <c r="O8" s="3455" t="s">
        <v>3432</v>
      </c>
      <c r="P8" s="3455" t="s">
        <v>3432</v>
      </c>
      <c r="Q8" s="3456" t="s">
        <v>3432</v>
      </c>
      <c r="R8" s="3456" t="s">
        <v>3432</v>
      </c>
      <c r="S8" s="3456" t="s">
        <v>3432</v>
      </c>
      <c r="V8" s="3453">
        <v>1204.69</v>
      </c>
      <c r="W8" s="3453">
        <v>2031.11</v>
      </c>
    </row>
    <row r="9" spans="1:23" s="3458" customFormat="1">
      <c r="A9" s="3616" t="s">
        <v>3433</v>
      </c>
      <c r="B9" s="3617" t="s">
        <v>3434</v>
      </c>
      <c r="C9" s="3618"/>
      <c r="D9" s="3457">
        <f t="shared" ref="D9:S9" si="0">D10+D14+D13</f>
        <v>9028</v>
      </c>
      <c r="E9" s="3457">
        <f t="shared" si="0"/>
        <v>7761</v>
      </c>
      <c r="F9" s="3457">
        <f t="shared" si="0"/>
        <v>5925</v>
      </c>
      <c r="G9" s="3457">
        <f t="shared" si="0"/>
        <v>3495</v>
      </c>
      <c r="H9" s="3457">
        <f t="shared" si="0"/>
        <v>6153</v>
      </c>
      <c r="I9" s="3457">
        <f t="shared" si="0"/>
        <v>6002</v>
      </c>
      <c r="J9" s="3457">
        <f t="shared" si="0"/>
        <v>4964</v>
      </c>
      <c r="K9" s="3457">
        <f t="shared" si="0"/>
        <v>3045</v>
      </c>
      <c r="L9" s="3457">
        <f t="shared" si="0"/>
        <v>8084</v>
      </c>
      <c r="M9" s="3457">
        <f t="shared" si="0"/>
        <v>5893</v>
      </c>
      <c r="N9" s="3457">
        <f t="shared" si="0"/>
        <v>4402</v>
      </c>
      <c r="O9" s="3457">
        <f t="shared" si="0"/>
        <v>5920</v>
      </c>
      <c r="P9" s="3457">
        <f t="shared" si="0"/>
        <v>3380</v>
      </c>
      <c r="Q9" s="3457">
        <f t="shared" si="0"/>
        <v>2202</v>
      </c>
      <c r="R9" s="3457">
        <f t="shared" si="0"/>
        <v>2572</v>
      </c>
      <c r="S9" s="3457">
        <f t="shared" si="0"/>
        <v>2206</v>
      </c>
      <c r="V9" s="3457">
        <f t="shared" ref="V9:W9" si="1">V10+V14+V13</f>
        <v>2362</v>
      </c>
      <c r="W9" s="3457">
        <f t="shared" si="1"/>
        <v>2579</v>
      </c>
    </row>
    <row r="10" spans="1:23" s="3460" customFormat="1">
      <c r="A10" s="3616"/>
      <c r="B10" s="3615" t="s">
        <v>3435</v>
      </c>
      <c r="C10" s="3459" t="s">
        <v>3436</v>
      </c>
      <c r="D10" s="3460">
        <v>2939</v>
      </c>
      <c r="E10" s="3460">
        <v>2744</v>
      </c>
      <c r="F10" s="3460">
        <v>2202</v>
      </c>
      <c r="G10" s="3460">
        <v>1490</v>
      </c>
      <c r="H10" s="3460">
        <v>2165</v>
      </c>
      <c r="I10" s="3460">
        <v>2924</v>
      </c>
      <c r="J10" s="3460">
        <v>2788</v>
      </c>
      <c r="K10" s="3460">
        <v>1470</v>
      </c>
      <c r="L10" s="3460">
        <v>3802</v>
      </c>
      <c r="M10" s="3460">
        <v>3061</v>
      </c>
      <c r="N10" s="3460">
        <v>2273</v>
      </c>
      <c r="O10" s="3460">
        <v>1795</v>
      </c>
      <c r="P10" s="3460">
        <v>1595</v>
      </c>
      <c r="Q10" s="3460">
        <v>1520</v>
      </c>
      <c r="R10" s="3460">
        <v>1800</v>
      </c>
      <c r="S10" s="3460">
        <v>1503</v>
      </c>
      <c r="V10" s="3460">
        <v>1492</v>
      </c>
      <c r="W10" s="3460">
        <v>1651</v>
      </c>
    </row>
    <row r="11" spans="1:23" s="3453" customFormat="1" ht="12">
      <c r="A11" s="3616"/>
      <c r="B11" s="3615"/>
      <c r="C11" s="3453" t="s">
        <v>3437</v>
      </c>
      <c r="D11" s="3455">
        <v>2430</v>
      </c>
      <c r="E11" s="3455">
        <v>2280</v>
      </c>
      <c r="F11" s="3455">
        <v>1505</v>
      </c>
      <c r="G11" s="3455">
        <v>1490</v>
      </c>
      <c r="H11" s="3455">
        <v>1870</v>
      </c>
      <c r="I11" s="3456">
        <v>2105</v>
      </c>
      <c r="J11" s="3456">
        <v>2008</v>
      </c>
      <c r="K11" s="3456">
        <v>1470</v>
      </c>
      <c r="L11" s="3455">
        <v>3375</v>
      </c>
      <c r="M11" s="3455">
        <v>2440</v>
      </c>
      <c r="N11" s="3455">
        <v>1670</v>
      </c>
      <c r="O11" s="3455">
        <v>1795</v>
      </c>
      <c r="P11" s="3455">
        <v>1595</v>
      </c>
      <c r="Q11" s="3456">
        <v>1520</v>
      </c>
      <c r="R11" s="3456">
        <v>1800</v>
      </c>
      <c r="S11" s="3456">
        <v>1443</v>
      </c>
      <c r="V11" s="3453">
        <v>1159</v>
      </c>
      <c r="W11" s="3453">
        <v>1043</v>
      </c>
    </row>
    <row r="12" spans="1:23" s="3453" customFormat="1" ht="12">
      <c r="A12" s="3616"/>
      <c r="B12" s="3615"/>
      <c r="C12" s="3453" t="s">
        <v>3438</v>
      </c>
      <c r="D12" s="3455">
        <v>5147</v>
      </c>
      <c r="E12" s="3455">
        <v>4677</v>
      </c>
      <c r="F12" s="3455">
        <v>4640</v>
      </c>
      <c r="G12" s="3455" t="s">
        <v>3439</v>
      </c>
      <c r="H12" s="3455">
        <v>5619</v>
      </c>
      <c r="I12" s="3456">
        <v>5763</v>
      </c>
      <c r="J12" s="3456">
        <v>4793</v>
      </c>
      <c r="K12" s="3456" t="s">
        <v>3439</v>
      </c>
      <c r="L12" s="3455">
        <v>5582</v>
      </c>
      <c r="M12" s="3455">
        <v>5390</v>
      </c>
      <c r="N12" s="3455">
        <v>4887</v>
      </c>
      <c r="O12" s="3455" t="s">
        <v>3439</v>
      </c>
      <c r="P12" s="3455" t="s">
        <v>3439</v>
      </c>
      <c r="Q12" s="3456"/>
      <c r="R12" s="3456"/>
      <c r="S12" s="3456"/>
      <c r="V12" s="3453">
        <v>3805</v>
      </c>
      <c r="W12" s="3453">
        <v>3873</v>
      </c>
    </row>
    <row r="13" spans="1:23" s="3461" customFormat="1">
      <c r="A13" s="3616"/>
      <c r="B13" s="3619" t="s">
        <v>3440</v>
      </c>
      <c r="C13" s="3619"/>
      <c r="D13" s="3461">
        <v>2763</v>
      </c>
      <c r="E13" s="3461">
        <v>2177</v>
      </c>
      <c r="F13" s="3461">
        <v>1556</v>
      </c>
      <c r="G13" s="3461">
        <v>780</v>
      </c>
      <c r="H13" s="3461">
        <v>1843</v>
      </c>
      <c r="I13" s="3461">
        <v>1397</v>
      </c>
      <c r="J13" s="3461">
        <v>700</v>
      </c>
      <c r="K13" s="3461">
        <v>350</v>
      </c>
      <c r="L13" s="3461">
        <v>1613</v>
      </c>
      <c r="M13" s="3461">
        <v>474</v>
      </c>
      <c r="N13" s="3461">
        <v>569</v>
      </c>
      <c r="O13" s="3461">
        <v>700</v>
      </c>
      <c r="P13" s="3461">
        <v>700</v>
      </c>
      <c r="Q13" s="3461">
        <v>100</v>
      </c>
      <c r="R13" s="3461">
        <v>100</v>
      </c>
      <c r="S13" s="3461">
        <v>60</v>
      </c>
      <c r="V13" s="3461">
        <v>250</v>
      </c>
      <c r="W13" s="3461">
        <v>314</v>
      </c>
    </row>
    <row r="14" spans="1:23" s="3462" customFormat="1">
      <c r="A14" s="3616"/>
      <c r="B14" s="3620" t="s">
        <v>3441</v>
      </c>
      <c r="C14" s="3620"/>
      <c r="D14" s="3462">
        <v>3326</v>
      </c>
      <c r="E14" s="3462">
        <v>2840</v>
      </c>
      <c r="F14" s="3462">
        <v>2167</v>
      </c>
      <c r="G14" s="3462">
        <v>1225</v>
      </c>
      <c r="H14" s="3462">
        <v>2145</v>
      </c>
      <c r="I14" s="3462">
        <v>1681</v>
      </c>
      <c r="J14" s="3462">
        <v>1476</v>
      </c>
      <c r="K14" s="3462">
        <v>1225</v>
      </c>
      <c r="L14" s="3462">
        <v>2669</v>
      </c>
      <c r="M14" s="3462">
        <v>2358</v>
      </c>
      <c r="N14" s="3462">
        <v>1560</v>
      </c>
      <c r="O14" s="3462">
        <v>3425</v>
      </c>
      <c r="P14" s="3462">
        <v>1085</v>
      </c>
      <c r="Q14" s="3462">
        <v>582</v>
      </c>
      <c r="R14" s="3462">
        <v>672</v>
      </c>
      <c r="S14" s="3462">
        <v>643</v>
      </c>
      <c r="V14" s="3462">
        <v>620</v>
      </c>
      <c r="W14" s="3462">
        <v>614</v>
      </c>
    </row>
    <row r="17" spans="2:23">
      <c r="B17" s="3450" t="s">
        <v>3442</v>
      </c>
    </row>
    <row r="18" spans="2:23">
      <c r="B18" s="3450" t="s">
        <v>3443</v>
      </c>
      <c r="D18" s="3463">
        <f>D10/D9</f>
        <v>0.3255427558706247</v>
      </c>
      <c r="E18" s="3463">
        <f t="shared" ref="E18:S18" si="2">E10/E9</f>
        <v>0.35356268522097667</v>
      </c>
      <c r="F18" s="3463">
        <f t="shared" si="2"/>
        <v>0.37164556962025319</v>
      </c>
      <c r="G18" s="3463">
        <f t="shared" si="2"/>
        <v>0.42632331902718168</v>
      </c>
      <c r="H18" s="3463">
        <f t="shared" si="2"/>
        <v>0.35186088087111977</v>
      </c>
      <c r="I18" s="3463">
        <f t="shared" si="2"/>
        <v>0.48717094301899366</v>
      </c>
      <c r="J18" s="3463">
        <f t="shared" si="2"/>
        <v>0.56164383561643838</v>
      </c>
      <c r="K18" s="3463">
        <f t="shared" si="2"/>
        <v>0.48275862068965519</v>
      </c>
      <c r="L18" s="3463">
        <f t="shared" si="2"/>
        <v>0.47031172686788719</v>
      </c>
      <c r="M18" s="3463">
        <f t="shared" si="2"/>
        <v>0.51942983200407267</v>
      </c>
      <c r="N18" s="3463">
        <f t="shared" si="2"/>
        <v>0.516356201726488</v>
      </c>
      <c r="O18" s="3463">
        <f t="shared" si="2"/>
        <v>0.30320945945945948</v>
      </c>
      <c r="P18" s="3463">
        <f t="shared" si="2"/>
        <v>0.47189349112426038</v>
      </c>
      <c r="Q18" s="3463">
        <f t="shared" si="2"/>
        <v>0.6902815622161671</v>
      </c>
      <c r="R18" s="3463">
        <f t="shared" si="2"/>
        <v>0.69984447900466562</v>
      </c>
      <c r="S18" s="3463">
        <f t="shared" si="2"/>
        <v>0.68132366273798728</v>
      </c>
      <c r="V18" s="3463">
        <f t="shared" ref="V18:W18" si="3">V10/V9</f>
        <v>0.63166807790008472</v>
      </c>
      <c r="W18" s="3463">
        <f t="shared" si="3"/>
        <v>0.64017060876308651</v>
      </c>
    </row>
    <row r="19" spans="2:23">
      <c r="B19" s="3450" t="s">
        <v>3444</v>
      </c>
      <c r="D19" s="3463">
        <f>D13/D9</f>
        <v>0.30604785112981836</v>
      </c>
      <c r="E19" s="3463">
        <f t="shared" ref="E19:S19" si="4">E13/E9</f>
        <v>0.28050508955031567</v>
      </c>
      <c r="F19" s="3463">
        <f t="shared" si="4"/>
        <v>0.26261603375527426</v>
      </c>
      <c r="G19" s="3463">
        <f t="shared" si="4"/>
        <v>0.22317596566523606</v>
      </c>
      <c r="H19" s="3463">
        <f t="shared" si="4"/>
        <v>0.29952868519421422</v>
      </c>
      <c r="I19" s="3463">
        <f t="shared" si="4"/>
        <v>0.23275574808397201</v>
      </c>
      <c r="J19" s="3463">
        <f t="shared" si="4"/>
        <v>0.14101531023368252</v>
      </c>
      <c r="K19" s="3463">
        <f t="shared" si="4"/>
        <v>0.11494252873563218</v>
      </c>
      <c r="L19" s="3463">
        <f t="shared" si="4"/>
        <v>0.19952993567540822</v>
      </c>
      <c r="M19" s="3463">
        <f t="shared" si="4"/>
        <v>8.0434413711182762E-2</v>
      </c>
      <c r="N19" s="3463">
        <f t="shared" si="4"/>
        <v>0.12925942753293956</v>
      </c>
      <c r="O19" s="3463">
        <f t="shared" si="4"/>
        <v>0.11824324324324324</v>
      </c>
      <c r="P19" s="3463">
        <f t="shared" si="4"/>
        <v>0.20710059171597633</v>
      </c>
      <c r="Q19" s="3463">
        <f t="shared" si="4"/>
        <v>4.5413260672116255E-2</v>
      </c>
      <c r="R19" s="3463">
        <f t="shared" si="4"/>
        <v>3.8880248833592534E-2</v>
      </c>
      <c r="S19" s="3463">
        <f t="shared" si="4"/>
        <v>2.7198549410698096E-2</v>
      </c>
      <c r="V19" s="3463">
        <f t="shared" ref="V19:W19" si="5">V13/V9</f>
        <v>0.10584250635055038</v>
      </c>
      <c r="W19" s="3463">
        <f t="shared" si="5"/>
        <v>0.12175261729352463</v>
      </c>
    </row>
    <row r="20" spans="2:23">
      <c r="B20" s="3450" t="s">
        <v>3445</v>
      </c>
      <c r="D20" s="3463">
        <f>D14/D9</f>
        <v>0.36840939299955694</v>
      </c>
      <c r="E20" s="3463">
        <f t="shared" ref="E20:S20" si="6">E14/E9</f>
        <v>0.36593222522870766</v>
      </c>
      <c r="F20" s="3463">
        <f t="shared" si="6"/>
        <v>0.36573839662447255</v>
      </c>
      <c r="G20" s="3463">
        <f t="shared" si="6"/>
        <v>0.35050071530758226</v>
      </c>
      <c r="H20" s="3463">
        <f t="shared" si="6"/>
        <v>0.34861043393466601</v>
      </c>
      <c r="I20" s="3463">
        <f t="shared" si="6"/>
        <v>0.2800733088970343</v>
      </c>
      <c r="J20" s="3463">
        <f t="shared" si="6"/>
        <v>0.29734085414987915</v>
      </c>
      <c r="K20" s="3463">
        <f t="shared" si="6"/>
        <v>0.40229885057471265</v>
      </c>
      <c r="L20" s="3463">
        <f t="shared" si="6"/>
        <v>0.33015833745670459</v>
      </c>
      <c r="M20" s="3463">
        <f t="shared" si="6"/>
        <v>0.40013575428474463</v>
      </c>
      <c r="N20" s="3463">
        <f t="shared" si="6"/>
        <v>0.35438437074057244</v>
      </c>
      <c r="O20" s="3463">
        <f t="shared" si="6"/>
        <v>0.57854729729729726</v>
      </c>
      <c r="P20" s="3463">
        <f t="shared" si="6"/>
        <v>0.32100591715976329</v>
      </c>
      <c r="Q20" s="3463">
        <f t="shared" si="6"/>
        <v>0.26430517711171664</v>
      </c>
      <c r="R20" s="3463">
        <f t="shared" si="6"/>
        <v>0.26127527216174184</v>
      </c>
      <c r="S20" s="3463">
        <f t="shared" si="6"/>
        <v>0.29147778785131462</v>
      </c>
      <c r="V20" s="3463">
        <f t="shared" ref="V20:W20" si="7">V14/V9</f>
        <v>0.26248941574936496</v>
      </c>
      <c r="W20" s="3463">
        <f t="shared" si="7"/>
        <v>0.23807677394338891</v>
      </c>
    </row>
    <row r="24" spans="2:23">
      <c r="B24" s="3450"/>
    </row>
    <row r="25" spans="2:23">
      <c r="B25" s="3450"/>
      <c r="D25" s="3464"/>
      <c r="E25" s="3464"/>
      <c r="F25" s="3464"/>
      <c r="G25" s="3464"/>
      <c r="H25" s="3464"/>
      <c r="I25" s="3464"/>
      <c r="J25" s="3464"/>
      <c r="K25" s="3464"/>
      <c r="L25" s="3464"/>
      <c r="M25" s="3464"/>
      <c r="N25" s="3464"/>
      <c r="O25" s="3464"/>
      <c r="P25" s="3464"/>
      <c r="Q25" s="3464"/>
      <c r="R25" s="3464"/>
    </row>
  </sheetData>
  <mergeCells count="13">
    <mergeCell ref="Q1:S1"/>
    <mergeCell ref="A3:B5"/>
    <mergeCell ref="A6:B8"/>
    <mergeCell ref="A9:A14"/>
    <mergeCell ref="B9:C9"/>
    <mergeCell ref="B10:B12"/>
    <mergeCell ref="B13:C13"/>
    <mergeCell ref="B14:C14"/>
    <mergeCell ref="A2:C2"/>
    <mergeCell ref="A1:C1"/>
    <mergeCell ref="D1:H1"/>
    <mergeCell ref="I1:K1"/>
    <mergeCell ref="L1:P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1" t="str">
        <f>项目基本情况!B1</f>
        <v>天津市北辰区万河路55号“京东智能产业园天津北辰”项目非居住用房房地产抵押价值预评估</v>
      </c>
      <c r="C37" s="3521"/>
      <c r="D37" s="3521"/>
      <c r="E37" s="3521"/>
      <c r="F37" s="3521"/>
      <c r="G37" s="3521"/>
      <c r="H37" s="3521"/>
      <c r="I37" s="3521"/>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270951.53999999998</v>
      </c>
      <c r="C1" s="2682"/>
      <c r="D1" s="2682"/>
      <c r="E1" s="2682"/>
      <c r="F1" s="2682"/>
      <c r="G1" s="2683"/>
      <c r="H1" s="2684"/>
      <c r="I1" s="2684"/>
      <c r="J1" s="2684"/>
      <c r="K1" s="2684"/>
    </row>
    <row r="2" spans="1:11" ht="16.5">
      <c r="A2" s="2508" t="s">
        <v>653</v>
      </c>
      <c r="B2" s="2508">
        <f>SUM(C14:C23)</f>
        <v>242044.6</v>
      </c>
      <c r="C2" s="2682"/>
      <c r="D2" s="2682"/>
      <c r="E2" s="2682"/>
      <c r="F2" s="2682"/>
      <c r="G2" s="2683"/>
      <c r="H2" s="2684"/>
      <c r="I2" s="2684"/>
      <c r="J2" s="2684"/>
      <c r="K2" s="2684"/>
    </row>
    <row r="3" spans="1:11" ht="16.5">
      <c r="A3" s="2508" t="s">
        <v>662</v>
      </c>
      <c r="B3" s="2510">
        <f>项目基本情况!D3</f>
        <v>45540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106839</v>
      </c>
      <c r="C5" s="2508">
        <f ca="1">IF(B5=D14,结果表!H102,ROUND(B5*10000/$B$1,0))</f>
        <v>3943</v>
      </c>
      <c r="D5" s="2508">
        <f ca="1">ROUND(B5*10000/$B$2,0)</f>
        <v>4414</v>
      </c>
      <c r="E5" s="2682"/>
      <c r="F5" s="2683"/>
      <c r="G5" s="2683"/>
      <c r="H5" s="2684"/>
      <c r="I5" s="2684"/>
      <c r="J5" s="2684"/>
      <c r="K5" s="2684"/>
    </row>
    <row r="6" spans="1:11" ht="16.5">
      <c r="A6" s="2508" t="s">
        <v>656</v>
      </c>
      <c r="B6" s="2508">
        <f ca="1">SUM(G14:G23)</f>
        <v>106839</v>
      </c>
      <c r="C6" s="2508">
        <f ca="1">IF(B6=G14,结果表!H108,ROUND(B6*10000/$B$1,0))</f>
        <v>3943</v>
      </c>
      <c r="D6" s="2508">
        <f ca="1">ROUND(B6*10000/$B$2,0)</f>
        <v>4414</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270951.53999999998</v>
      </c>
      <c r="C14" s="2514">
        <f>'数据-汇总表'!D3</f>
        <v>242044.6</v>
      </c>
      <c r="D14" s="2514">
        <f ca="1">结果表!H101</f>
        <v>106839</v>
      </c>
      <c r="E14" s="2514">
        <f ca="1">ROUND(D14*10000/B14,0)</f>
        <v>3943</v>
      </c>
      <c r="F14" s="2514">
        <f ca="1">ROUND(D14*10000/C14,0)</f>
        <v>4414</v>
      </c>
      <c r="G14" s="2514">
        <f ca="1">结果表!H107</f>
        <v>106839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ht="16.5">
      <c r="A16" s="2513" t="s">
        <v>648</v>
      </c>
      <c r="B16" s="2515"/>
      <c r="C16" s="2515"/>
      <c r="D16" s="2515"/>
      <c r="E16" s="2514" t="e">
        <f t="shared" si="0"/>
        <v>#DIV/0!</v>
      </c>
      <c r="F16" s="2514" t="e">
        <f t="shared" si="1"/>
        <v>#DIV/0!</v>
      </c>
      <c r="G16" s="1329"/>
      <c r="H16" s="1329"/>
      <c r="I16" s="2515"/>
      <c r="J16" s="2684"/>
      <c r="K16" s="2684"/>
    </row>
    <row r="17" spans="1:11" ht="16.5">
      <c r="A17" s="2513" t="s">
        <v>647</v>
      </c>
      <c r="B17" s="2515"/>
      <c r="C17" s="2515"/>
      <c r="D17" s="2515"/>
      <c r="E17" s="2514" t="e">
        <f t="shared" si="0"/>
        <v>#DIV/0!</v>
      </c>
      <c r="F17" s="2514" t="e">
        <f t="shared" si="1"/>
        <v>#DIV/0!</v>
      </c>
      <c r="G17" s="1329"/>
      <c r="H17" s="1329"/>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D123" sqref="D123:I123"/>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58" t="str">
        <f>项目基本情况!S2</f>
        <v>天津市北辰区万河路55号“京东智能产业园天津北辰”项目非居住用房房地产</v>
      </c>
      <c r="B2" s="3659"/>
      <c r="C2" s="3659"/>
      <c r="D2" s="3659"/>
      <c r="E2" s="3659"/>
      <c r="F2" s="3659"/>
      <c r="G2" s="3659"/>
      <c r="H2" s="3659"/>
      <c r="I2" s="3660"/>
    </row>
    <row r="3" spans="1:12" ht="12.75">
      <c r="A3" s="3662" t="s">
        <v>1264</v>
      </c>
      <c r="B3" s="3663"/>
      <c r="C3" s="3663"/>
      <c r="D3" s="3663"/>
      <c r="E3" s="3663"/>
      <c r="F3" s="3663"/>
      <c r="G3" s="3663"/>
      <c r="H3" s="3663"/>
      <c r="I3" s="3663"/>
    </row>
    <row r="4" spans="1:12" ht="14.25">
      <c r="A4" s="1752" t="s">
        <v>1265</v>
      </c>
      <c r="B4" s="1753" t="s">
        <v>1266</v>
      </c>
      <c r="C4" s="1754" t="s">
        <v>3484</v>
      </c>
      <c r="D4" s="1754" t="s">
        <v>3480</v>
      </c>
      <c r="E4" s="3664" t="s">
        <v>1267</v>
      </c>
      <c r="F4" s="3665"/>
      <c r="G4" s="3665"/>
      <c r="H4" s="3665"/>
      <c r="I4" s="366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8" t="s">
        <v>1268</v>
      </c>
      <c r="B5" s="3625">
        <v>25</v>
      </c>
      <c r="C5" s="3641"/>
      <c r="D5" s="3661"/>
      <c r="E5" s="131" t="s">
        <v>1269</v>
      </c>
      <c r="F5" s="1755"/>
      <c r="G5" s="1755"/>
      <c r="H5" s="1755"/>
      <c r="I5" s="1371"/>
    </row>
    <row r="6" spans="1:12" ht="12.75">
      <c r="A6" s="3638"/>
      <c r="B6" s="3625"/>
      <c r="C6" s="3642"/>
      <c r="D6" s="3661"/>
      <c r="E6" s="131" t="s">
        <v>1270</v>
      </c>
      <c r="F6" s="1755"/>
      <c r="G6" s="1755"/>
      <c r="H6" s="1755"/>
      <c r="I6" s="1371"/>
    </row>
    <row r="7" spans="1:12" ht="12.75">
      <c r="A7" s="3638"/>
      <c r="B7" s="3625"/>
      <c r="C7" s="3643"/>
      <c r="D7" s="3661"/>
      <c r="E7" s="131" t="s">
        <v>1271</v>
      </c>
      <c r="F7" s="1755"/>
      <c r="G7" s="1755"/>
      <c r="H7" s="1755"/>
      <c r="I7" s="1371"/>
    </row>
    <row r="8" spans="1:12" ht="12.75">
      <c r="A8" s="3638" t="s">
        <v>1272</v>
      </c>
      <c r="B8" s="3625">
        <v>15</v>
      </c>
      <c r="C8" s="3641"/>
      <c r="D8" s="3661"/>
      <c r="E8" s="131" t="s">
        <v>1273</v>
      </c>
      <c r="F8" s="1755"/>
      <c r="G8" s="1755"/>
      <c r="H8" s="1755"/>
      <c r="I8" s="1371"/>
    </row>
    <row r="9" spans="1:12" ht="12.75">
      <c r="A9" s="3638"/>
      <c r="B9" s="3625"/>
      <c r="C9" s="3643"/>
      <c r="D9" s="3661"/>
      <c r="E9" s="131" t="s">
        <v>1274</v>
      </c>
      <c r="F9" s="1755"/>
      <c r="G9" s="1755"/>
      <c r="H9" s="1755"/>
      <c r="I9" s="1371"/>
    </row>
    <row r="10" spans="1:12" ht="12.75">
      <c r="A10" s="3638" t="s">
        <v>1275</v>
      </c>
      <c r="B10" s="3625">
        <v>15</v>
      </c>
      <c r="C10" s="3641"/>
      <c r="D10" s="3661"/>
      <c r="E10" s="131" t="s">
        <v>1276</v>
      </c>
      <c r="F10" s="1755"/>
      <c r="G10" s="1755"/>
      <c r="H10" s="1755"/>
      <c r="I10" s="1371"/>
    </row>
    <row r="11" spans="1:12" ht="12.75">
      <c r="A11" s="3638"/>
      <c r="B11" s="3625"/>
      <c r="C11" s="3643"/>
      <c r="D11" s="3661"/>
      <c r="E11" s="131" t="s">
        <v>1277</v>
      </c>
      <c r="F11" s="1755"/>
      <c r="G11" s="1755"/>
      <c r="H11" s="1755"/>
      <c r="I11" s="1371"/>
    </row>
    <row r="12" spans="1:12" ht="12.75">
      <c r="A12" s="3638" t="s">
        <v>1278</v>
      </c>
      <c r="B12" s="3625">
        <v>15</v>
      </c>
      <c r="C12" s="3641"/>
      <c r="D12" s="3661"/>
      <c r="E12" s="131" t="s">
        <v>1279</v>
      </c>
      <c r="F12" s="1755"/>
      <c r="G12" s="1755"/>
      <c r="H12" s="1755"/>
      <c r="I12" s="1371"/>
    </row>
    <row r="13" spans="1:12" ht="12.75">
      <c r="A13" s="3638"/>
      <c r="B13" s="3625"/>
      <c r="C13" s="3643"/>
      <c r="D13" s="3661"/>
      <c r="E13" s="131" t="s">
        <v>1280</v>
      </c>
      <c r="F13" s="1755"/>
      <c r="G13" s="1755"/>
      <c r="H13" s="1755"/>
      <c r="I13" s="1371"/>
    </row>
    <row r="14" spans="1:12" ht="12.75">
      <c r="A14" s="3638" t="s">
        <v>1281</v>
      </c>
      <c r="B14" s="3625">
        <v>30</v>
      </c>
      <c r="C14" s="3641">
        <v>6</v>
      </c>
      <c r="D14" s="3661">
        <v>4</v>
      </c>
      <c r="E14" s="131" t="s">
        <v>1282</v>
      </c>
      <c r="F14" s="1755"/>
      <c r="G14" s="1755"/>
      <c r="H14" s="1755"/>
      <c r="I14" s="1371"/>
    </row>
    <row r="15" spans="1:12" ht="12.75">
      <c r="A15" s="3638"/>
      <c r="B15" s="3625"/>
      <c r="C15" s="3642"/>
      <c r="D15" s="3661"/>
      <c r="E15" s="131" t="s">
        <v>1283</v>
      </c>
      <c r="F15" s="1755"/>
      <c r="G15" s="1755"/>
      <c r="H15" s="1755"/>
      <c r="I15" s="1371"/>
    </row>
    <row r="16" spans="1:12" ht="12.75">
      <c r="A16" s="3638"/>
      <c r="B16" s="3625"/>
      <c r="C16" s="3643"/>
      <c r="D16" s="3661"/>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48" t="s">
        <v>2127</v>
      </c>
      <c r="F18" s="3649"/>
      <c r="G18" s="3649"/>
      <c r="H18" s="3649"/>
      <c r="I18" s="3649"/>
      <c r="K18" s="302" t="s">
        <v>1289</v>
      </c>
      <c r="L18" s="302">
        <f>IF(C1="",'数据-汇总表'!E3,SUMIF(项目类型,C1,'数据-汇总表'!E17:E26)+SUMIF(项目类型,C1,'数据-汇总表'!I17:I26))</f>
        <v>270951.53999999998</v>
      </c>
      <c r="M18" s="302">
        <f>IF(C1="",'数据-汇总表'!E3,SUMIF(项目类型,C1,'数据-汇总表'!E17:E26))</f>
        <v>270951.53999999998</v>
      </c>
    </row>
    <row r="19" spans="1:36" ht="15">
      <c r="A19" s="1759" t="s">
        <v>1290</v>
      </c>
      <c r="B19" s="1760" t="s">
        <v>1291</v>
      </c>
      <c r="C19" s="134">
        <f ca="1">SUMIF(INDIRECT("'"&amp;C4&amp;"'"&amp;"!A:A"),结果表!B19,INDIRECT("'"&amp;C4&amp;"'"&amp;"!B:B"))</f>
        <v>117974</v>
      </c>
      <c r="D19" s="135">
        <f ca="1">SUMIF(INDIRECT("'"&amp;D4&amp;"'"&amp;"!A:A"),结果表!B19,INDIRECT("'"&amp;D4&amp;"'"&amp;"!B:B"))</f>
        <v>90136</v>
      </c>
      <c r="E19" s="1759" t="s">
        <v>1292</v>
      </c>
      <c r="F19" s="1760" t="s">
        <v>1291</v>
      </c>
      <c r="G19" s="136">
        <f ca="1">ROUND(C19*$C$18+D19*$D$18,0)</f>
        <v>106839</v>
      </c>
      <c r="H19" s="1761" t="s">
        <v>1293</v>
      </c>
      <c r="I19" s="129"/>
      <c r="K19" s="302" t="s">
        <v>1294</v>
      </c>
      <c r="L19" s="302">
        <f>IF(C1="",'数据-汇总表'!D3,SUMIF(项目类型,C1,'数据-汇总表'!D17:D26)+SUMIF(项目类型,C1,'数据-汇总表'!H17:H27))</f>
        <v>242044.6</v>
      </c>
      <c r="M19" s="302">
        <f>IF(C1="",'数据-汇总表'!D3,SUMIF(项目类型,C1,'数据-汇总表'!D17:D26))</f>
        <v>242044.6</v>
      </c>
    </row>
    <row r="20" spans="1:36" ht="15">
      <c r="A20" s="1762"/>
      <c r="B20" s="1026" t="s">
        <v>1295</v>
      </c>
      <c r="C20" s="137">
        <f ca="1">SUMIF(INDIRECT("'"&amp;C4&amp;"'"&amp;"!A:A"),结果表!B20,INDIRECT("'"&amp;C4&amp;"'"&amp;"!B:B"))</f>
        <v>4354</v>
      </c>
      <c r="D20" s="138">
        <f ca="1">SUMIF(INDIRECT("'"&amp;D4&amp;"'"&amp;"!A:A"),结果表!B20,INDIRECT("'"&amp;D4&amp;"'"&amp;"!B:B"))</f>
        <v>3327</v>
      </c>
      <c r="E20" s="1762"/>
      <c r="F20" s="1026" t="s">
        <v>1295</v>
      </c>
      <c r="G20" s="139">
        <f ca="1">ROUND(C20*$C$18+D20*$D$18,0)</f>
        <v>3943</v>
      </c>
      <c r="H20" s="808" t="s">
        <v>1296</v>
      </c>
      <c r="I20" s="129"/>
    </row>
    <row r="21" spans="1:36" ht="15" customHeight="1" thickBot="1">
      <c r="A21" s="828"/>
      <c r="B21" s="1763" t="s">
        <v>1297</v>
      </c>
      <c r="C21" s="719">
        <f ca="1">ROUND(C19*10000/L19,0)</f>
        <v>4874</v>
      </c>
      <c r="D21" s="720">
        <f ca="1">ROUND(D19*10000/L19,0)</f>
        <v>3724</v>
      </c>
      <c r="E21" s="828"/>
      <c r="F21" s="1763" t="s">
        <v>1297</v>
      </c>
      <c r="G21" s="140">
        <f ca="1">ROUND(G19*10000/L19,0)</f>
        <v>4414</v>
      </c>
      <c r="H21" s="1764" t="s">
        <v>1296</v>
      </c>
      <c r="I21" s="129"/>
    </row>
    <row r="22" spans="1:36" ht="15" thickBot="1">
      <c r="A22" s="1686" t="s">
        <v>1298</v>
      </c>
      <c r="B22" s="1765"/>
      <c r="C22" s="1766"/>
      <c r="D22" s="721">
        <f ca="1">IF(C19&lt;D19,D19/C19-1,C19/D19-1)</f>
        <v>0.30884441288719278</v>
      </c>
      <c r="E22" s="129"/>
      <c r="F22" s="129"/>
      <c r="G22" s="129"/>
      <c r="H22" s="129"/>
      <c r="I22" s="129"/>
    </row>
    <row r="23" spans="1:36" ht="13.5" thickBot="1">
      <c r="A23" s="1745"/>
      <c r="B23" s="1745"/>
      <c r="C23" s="1745"/>
      <c r="D23" s="1745"/>
      <c r="E23" s="129"/>
      <c r="F23" s="129"/>
      <c r="G23" s="129"/>
      <c r="H23" s="129"/>
      <c r="I23" s="129"/>
    </row>
    <row r="24" spans="1:36" ht="14.25">
      <c r="A24" s="3632" t="s">
        <v>1299</v>
      </c>
      <c r="B24" s="1760" t="s">
        <v>1291</v>
      </c>
      <c r="C24" s="136">
        <f>IF(B30=0,0,D30)</f>
        <v>0</v>
      </c>
      <c r="D24" s="1767"/>
      <c r="E24" s="129"/>
      <c r="F24" s="129"/>
      <c r="G24" s="129"/>
      <c r="H24" s="129"/>
      <c r="I24" s="129"/>
    </row>
    <row r="25" spans="1:36" ht="14.25">
      <c r="A25" s="3633"/>
      <c r="B25" s="1026"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2128</v>
      </c>
      <c r="F30" s="129"/>
      <c r="G30" s="129"/>
      <c r="H30" s="129"/>
      <c r="I30" s="129"/>
    </row>
    <row r="31" spans="1:36" s="2306" customFormat="1" ht="26.45" customHeight="1" thickTop="1" thickBot="1">
      <c r="A31" s="2301"/>
      <c r="B31" s="2302"/>
      <c r="C31" s="2302"/>
      <c r="D31" s="2302"/>
      <c r="E31" s="2302"/>
      <c r="F31" s="2302"/>
      <c r="G31" s="2302"/>
      <c r="H31" s="2302"/>
      <c r="I31" s="2303" t="s">
        <v>2129</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106839</v>
      </c>
      <c r="D32" s="1773" t="s">
        <v>3483</v>
      </c>
      <c r="E32" s="129"/>
      <c r="F32" s="129"/>
      <c r="G32" s="129"/>
      <c r="H32" s="129"/>
      <c r="I32" s="129"/>
    </row>
    <row r="33" spans="1:15" ht="15">
      <c r="A33" s="786" t="s">
        <v>1306</v>
      </c>
      <c r="B33" s="1774"/>
      <c r="C33" s="3519" t="s">
        <v>3808</v>
      </c>
      <c r="D33" s="1775"/>
      <c r="E33" s="1776" t="s">
        <v>1307</v>
      </c>
      <c r="F33" s="1777" t="str">
        <f>IF(D32="楼面单价","取值（单价）","取值（总价）")</f>
        <v>取值（总价）</v>
      </c>
      <c r="G33" s="129"/>
      <c r="H33" s="129"/>
      <c r="I33" s="129"/>
    </row>
    <row r="34" spans="1:15" ht="15">
      <c r="A34" s="1778"/>
      <c r="B34" s="1779" t="s">
        <v>1308</v>
      </c>
      <c r="C34" s="148">
        <f ca="1">IF(C33="自定义",F34,C32-C35)</f>
        <v>14677</v>
      </c>
      <c r="D34" s="861">
        <f ca="1">IF(C33="自定义",ROUND(C34/C32,3),IF(C33="收益比率",SUMIF(INDIRECT("'"&amp;D33&amp;"'"&amp;"!b:b"),"土地收益比率",INDIRECT("'"&amp;D33&amp;"'"&amp;"!c:c")),SUMIF(INDIRECT("'"&amp;D33&amp;"'"&amp;"!b:b"),"土地成本比率",INDIRECT("'"&amp;D33&amp;"'"&amp;"!c:c"))))</f>
        <v>0.13700000000000001</v>
      </c>
      <c r="E34" s="1780" t="s">
        <v>1309</v>
      </c>
      <c r="F34" s="3518">
        <f ca="1">G19-F35</f>
        <v>14677</v>
      </c>
      <c r="G34" s="129"/>
      <c r="H34" s="129"/>
      <c r="I34" s="129"/>
    </row>
    <row r="35" spans="1:15" ht="15.75" thickBot="1">
      <c r="A35" s="1781"/>
      <c r="B35" s="1782" t="s">
        <v>1310</v>
      </c>
      <c r="C35" s="1170">
        <f ca="1">IF(C33="自定义",F35,ROUND(C32*D35,0))</f>
        <v>92162</v>
      </c>
      <c r="D35" s="1171">
        <f ca="1">IF(C33="自定义",ROUND(C35/C32,3),IF(C33="收益比率",SUMIF(INDIRECT("'"&amp;D33&amp;"'"&amp;"!b:b"),"建筑物收益比率",INDIRECT("'"&amp;D33&amp;"'"&amp;"!c:c")),SUMIF(INDIRECT("'"&amp;D33&amp;"'"&amp;"!b:b"),"建筑物成本比率",INDIRECT("'"&amp;D33&amp;"'"&amp;"!c:c"))))</f>
        <v>0.86299999999999999</v>
      </c>
      <c r="E35" s="1783" t="s">
        <v>1311</v>
      </c>
      <c r="F35" s="3520">
        <f ca="1">成本法!C51</f>
        <v>92162</v>
      </c>
      <c r="G35" s="129"/>
      <c r="H35" s="129"/>
      <c r="I35" s="129"/>
    </row>
    <row r="36" spans="1:15" ht="15.75" thickBot="1">
      <c r="A36" s="3652" t="s">
        <v>1312</v>
      </c>
      <c r="B36" s="1784" t="s">
        <v>1313</v>
      </c>
      <c r="C36" s="145"/>
      <c r="D36" s="1785"/>
      <c r="E36" s="1786"/>
      <c r="F36" s="1787"/>
      <c r="G36" s="129"/>
      <c r="H36" s="129"/>
      <c r="I36" s="129"/>
    </row>
    <row r="37" spans="1:15" ht="15.75" thickBot="1">
      <c r="A37" s="3653"/>
      <c r="B37" s="1672" t="s">
        <v>1314</v>
      </c>
      <c r="C37" s="147"/>
      <c r="D37" s="1139"/>
      <c r="E37" s="1139"/>
      <c r="F37" s="1787"/>
      <c r="G37" s="129"/>
      <c r="H37" s="129"/>
      <c r="I37" s="129"/>
    </row>
    <row r="38" spans="1:15" ht="15.75" thickBot="1">
      <c r="A38" s="3654"/>
      <c r="B38" s="1788" t="s">
        <v>1315</v>
      </c>
      <c r="C38" s="674"/>
      <c r="D38" s="1789" t="s">
        <v>1316</v>
      </c>
      <c r="E38" s="1139"/>
      <c r="F38" s="1787"/>
      <c r="G38" s="129"/>
      <c r="H38" s="129"/>
      <c r="I38" s="129"/>
    </row>
    <row r="39" spans="1:15" ht="15">
      <c r="A39" s="1762"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5"/>
      <c r="B43" s="1575"/>
      <c r="C43" s="1575"/>
      <c r="D43" s="1575"/>
      <c r="E43" s="1575"/>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9" t="s">
        <v>1326</v>
      </c>
      <c r="B45" s="3630"/>
      <c r="C45" s="3631"/>
      <c r="D45" s="155">
        <f ca="1">ROUND(H101*F45,0)</f>
        <v>106839</v>
      </c>
      <c r="E45" s="156" t="s">
        <v>1327</v>
      </c>
      <c r="F45" s="157">
        <v>1</v>
      </c>
      <c r="G45" s="158" t="s">
        <v>1328</v>
      </c>
      <c r="H45" s="129"/>
      <c r="I45" s="129"/>
      <c r="J45" s="3707" t="s">
        <v>1329</v>
      </c>
      <c r="K45" s="3707"/>
      <c r="L45" s="3707"/>
      <c r="M45" s="3707"/>
      <c r="N45" s="3707"/>
      <c r="O45" s="3707"/>
    </row>
    <row r="46" spans="1:15" ht="14.25" customHeight="1">
      <c r="A46" s="3626" t="s">
        <v>1330</v>
      </c>
      <c r="B46" s="3627"/>
      <c r="C46" s="3627"/>
      <c r="D46" s="3627"/>
      <c r="E46" s="3627"/>
      <c r="F46" s="3627"/>
      <c r="G46" s="3628"/>
      <c r="H46" s="1803"/>
      <c r="I46" s="159"/>
      <c r="J46" s="2519">
        <v>1</v>
      </c>
      <c r="K46" s="3688" t="s">
        <v>1331</v>
      </c>
      <c r="L46" s="3688"/>
      <c r="M46" s="3708"/>
      <c r="N46" s="3708"/>
      <c r="O46" s="3708"/>
    </row>
    <row r="47" spans="1:15" ht="12" customHeight="1">
      <c r="A47" s="160" t="s">
        <v>1332</v>
      </c>
      <c r="B47" s="161"/>
      <c r="C47" s="162"/>
      <c r="D47" s="1087" t="s">
        <v>1333</v>
      </c>
      <c r="E47" s="302" t="s">
        <v>1334</v>
      </c>
      <c r="F47" s="163" t="s">
        <v>1335</v>
      </c>
      <c r="G47" s="2542" t="s">
        <v>1336</v>
      </c>
      <c r="H47" s="2543"/>
      <c r="I47" s="159"/>
      <c r="J47" s="2519">
        <v>2</v>
      </c>
      <c r="K47" s="3688" t="s">
        <v>1337</v>
      </c>
      <c r="L47" s="3688"/>
      <c r="M47" s="3709">
        <f>'数据-取费表'!B2</f>
        <v>45540</v>
      </c>
      <c r="N47" s="3709"/>
      <c r="O47" s="3709"/>
    </row>
    <row r="48" spans="1:15" ht="25.5">
      <c r="A48" s="3657" t="s">
        <v>1338</v>
      </c>
      <c r="B48" s="3640"/>
      <c r="C48" s="3640"/>
      <c r="D48" s="2321" t="b">
        <f>IF(H48="情况1",0,IF(H48="情况2",D52,IF(H48="情况3",D53,IF(H48="情况4",D54))))</f>
        <v>0</v>
      </c>
      <c r="E48" s="2331" t="str">
        <f>IF(H48="情况4","(销售额-原购置价)×税（费）率","销售额×税（费）率")</f>
        <v>销售额×税（费）率</v>
      </c>
      <c r="F48" s="2544">
        <f>IF(H48="情况1","免征",'数据-取费表'!B41)</f>
        <v>5.6000000000000001E-2</v>
      </c>
      <c r="G48" s="2545" t="s">
        <v>1339</v>
      </c>
      <c r="H48" s="2546"/>
      <c r="I48" s="1803"/>
      <c r="J48" s="2519">
        <v>3</v>
      </c>
      <c r="K48" s="3688" t="s">
        <v>1340</v>
      </c>
      <c r="L48" s="3688"/>
      <c r="M48" s="3710">
        <f ca="1">H101</f>
        <v>106839</v>
      </c>
      <c r="N48" s="3710"/>
      <c r="O48" s="3710"/>
    </row>
    <row r="49" spans="1:35" ht="25.5" customHeight="1">
      <c r="A49" s="2330" t="s">
        <v>1341</v>
      </c>
      <c r="B49" s="3624" t="s">
        <v>1342</v>
      </c>
      <c r="C49" s="3624"/>
      <c r="D49" s="1588">
        <v>0</v>
      </c>
      <c r="E49" s="324" t="s">
        <v>1343</v>
      </c>
      <c r="F49" s="2420" t="s">
        <v>28</v>
      </c>
      <c r="G49" s="3694"/>
      <c r="H49" s="2307" t="s">
        <v>2130</v>
      </c>
      <c r="I49" s="2308"/>
      <c r="J49" s="2519">
        <v>4</v>
      </c>
      <c r="K49" s="3688" t="str">
        <f>IF(项目基本情况!E8="房地产抵押价值","房地产抵押价值","抵押担保权已注销时的房地产抵押价值")</f>
        <v>房地产抵押价值</v>
      </c>
      <c r="L49" s="3688"/>
      <c r="M49" s="3710">
        <f ca="1">IF(项目基本情况!E8="房地产抵押价值",H107,H109)</f>
        <v>106839</v>
      </c>
      <c r="N49" s="3710"/>
      <c r="O49" s="3710"/>
    </row>
    <row r="50" spans="1:35" ht="25.5" customHeight="1">
      <c r="A50" s="2547"/>
      <c r="B50" s="3624" t="s">
        <v>1344</v>
      </c>
      <c r="C50" s="3624"/>
      <c r="D50" s="2548"/>
      <c r="E50" s="332"/>
      <c r="F50" s="2420"/>
      <c r="G50" s="3695"/>
      <c r="H50" s="2309" t="s">
        <v>2131</v>
      </c>
      <c r="I50" s="2308"/>
      <c r="J50" s="3707" t="s">
        <v>1345</v>
      </c>
      <c r="K50" s="3707"/>
      <c r="L50" s="3707"/>
      <c r="M50" s="3707"/>
      <c r="N50" s="3707"/>
      <c r="O50" s="3707"/>
    </row>
    <row r="51" spans="1:35" ht="20.45" customHeight="1">
      <c r="A51" s="2549"/>
      <c r="B51" s="3624" t="s">
        <v>1346</v>
      </c>
      <c r="C51" s="3624"/>
      <c r="D51" s="1087"/>
      <c r="E51" s="327"/>
      <c r="F51" s="2420"/>
      <c r="G51" s="3696"/>
      <c r="H51" s="2309" t="s">
        <v>2132</v>
      </c>
      <c r="I51" s="2308"/>
      <c r="J51" s="2520" t="s">
        <v>1347</v>
      </c>
      <c r="K51" s="3688" t="s">
        <v>1348</v>
      </c>
      <c r="L51" s="3688"/>
      <c r="M51" s="2520" t="s">
        <v>1349</v>
      </c>
      <c r="N51" s="2520" t="s">
        <v>1350</v>
      </c>
      <c r="O51" s="2520" t="s">
        <v>1351</v>
      </c>
    </row>
    <row r="52" spans="1:35" ht="24" customHeight="1">
      <c r="A52" s="2332" t="s">
        <v>1352</v>
      </c>
      <c r="B52" s="3624" t="s">
        <v>1353</v>
      </c>
      <c r="C52" s="3624"/>
      <c r="D52" s="1087">
        <f ca="1">ROUND(D45*'数据-取费表'!B41/(1+'数据-取费表'!C42),0)</f>
        <v>5698</v>
      </c>
      <c r="E52" s="2331" t="s">
        <v>1354</v>
      </c>
      <c r="F52" s="2550">
        <f>'数据-取费表'!B41</f>
        <v>5.6000000000000001E-2</v>
      </c>
      <c r="G52" s="2551"/>
      <c r="H52" s="2540"/>
      <c r="I52" s="1804"/>
      <c r="J52" s="2519">
        <v>1</v>
      </c>
      <c r="K52" s="3689" t="s">
        <v>1355</v>
      </c>
      <c r="L52" s="3689"/>
      <c r="M52" s="2521" t="b">
        <f>D48</f>
        <v>0</v>
      </c>
      <c r="N52" s="2519" t="str">
        <f>E48</f>
        <v>销售额×税（费）率</v>
      </c>
      <c r="O52" s="2522">
        <f>F48</f>
        <v>5.6000000000000001E-2</v>
      </c>
    </row>
    <row r="53" spans="1:35" ht="12" customHeight="1">
      <c r="A53" s="2332" t="s">
        <v>1356</v>
      </c>
      <c r="B53" s="3650" t="s">
        <v>2287</v>
      </c>
      <c r="C53" s="3651"/>
      <c r="D53" s="1087">
        <f ca="1">ROUND(D45*'数据-取费表'!B41/(1+'数据-取费表'!C42),0)</f>
        <v>5698</v>
      </c>
      <c r="E53" s="2331" t="s">
        <v>1354</v>
      </c>
      <c r="F53" s="2550">
        <f>'数据-取费表'!B41</f>
        <v>5.6000000000000001E-2</v>
      </c>
      <c r="G53" s="2551"/>
      <c r="H53" s="2540"/>
      <c r="I53" s="1804"/>
      <c r="J53" s="2519">
        <v>2</v>
      </c>
      <c r="K53" s="3689" t="s">
        <v>1357</v>
      </c>
      <c r="L53" s="3689"/>
      <c r="M53" s="2521">
        <f t="shared" ref="M53:O54" ca="1" si="0">D55</f>
        <v>53</v>
      </c>
      <c r="N53" s="2519" t="str">
        <f t="shared" si="0"/>
        <v>销售额×税（费）率</v>
      </c>
      <c r="O53" s="2522" t="str">
        <f t="shared" si="0"/>
        <v>免征</v>
      </c>
    </row>
    <row r="54" spans="1:35" ht="12" customHeight="1">
      <c r="A54" s="2332" t="s">
        <v>1358</v>
      </c>
      <c r="B54" s="3650" t="s">
        <v>2288</v>
      </c>
      <c r="C54" s="3651"/>
      <c r="D54" s="1087">
        <f ca="1">C68</f>
        <v>5698</v>
      </c>
      <c r="E54" s="327" t="s">
        <v>1359</v>
      </c>
      <c r="F54" s="2550">
        <f>'数据-取费表'!B41</f>
        <v>5.6000000000000001E-2</v>
      </c>
      <c r="G54" s="2551"/>
      <c r="H54" s="2552"/>
      <c r="I54" s="1804"/>
      <c r="J54" s="2519">
        <v>3</v>
      </c>
      <c r="K54" s="3689" t="s">
        <v>1360</v>
      </c>
      <c r="L54" s="3689"/>
      <c r="M54" s="2521">
        <f t="shared" ca="1" si="0"/>
        <v>60470</v>
      </c>
      <c r="N54" s="2519" t="str">
        <f t="shared" si="0"/>
        <v>增值额×税（费）率</v>
      </c>
      <c r="O54" s="2523" t="str">
        <f t="shared" si="0"/>
        <v>免征</v>
      </c>
    </row>
    <row r="55" spans="1:35" ht="24" customHeight="1">
      <c r="A55" s="3639" t="s">
        <v>1361</v>
      </c>
      <c r="B55" s="3640"/>
      <c r="C55" s="3640"/>
      <c r="D55" s="2321">
        <f ca="1">IF(H55="个人住宅",0,ROUND(D45*I55,0))</f>
        <v>53</v>
      </c>
      <c r="E55" s="2331" t="s">
        <v>1362</v>
      </c>
      <c r="F55" s="2550" t="str">
        <f>IF(H55="正常",I55,"免征")</f>
        <v>免征</v>
      </c>
      <c r="G55" s="2551"/>
      <c r="H55" s="2546"/>
      <c r="I55" s="165">
        <f>'数据-取费表'!B49</f>
        <v>5.0000000000000001E-4</v>
      </c>
      <c r="J55" s="2519">
        <f>IF(H59="非个人房产","",4)</f>
        <v>4</v>
      </c>
      <c r="K55" s="3689" t="str">
        <f>IF(H59="非个人房产","——","个人所得税")</f>
        <v>个人所得税</v>
      </c>
      <c r="L55" s="3689"/>
      <c r="M55" s="2524">
        <f ca="1">D59</f>
        <v>1018</v>
      </c>
      <c r="N55" s="2037" t="str">
        <f>E59</f>
        <v>差额计税</v>
      </c>
      <c r="O55" s="2525">
        <f>F59</f>
        <v>0.01</v>
      </c>
    </row>
    <row r="56" spans="1:35" ht="24.75">
      <c r="A56" s="3639" t="s">
        <v>1363</v>
      </c>
      <c r="B56" s="3640"/>
      <c r="C56" s="3640"/>
      <c r="D56" s="2321">
        <f ca="1">IF(H56="个人住宅",D57,D58)</f>
        <v>60470</v>
      </c>
      <c r="E56" s="2331" t="s">
        <v>1364</v>
      </c>
      <c r="F56" s="2550" t="str">
        <f>IF(H56="正常",F58,"免征")</f>
        <v>免征</v>
      </c>
      <c r="G56" s="2553" t="s">
        <v>1365</v>
      </c>
      <c r="H56" s="2554"/>
      <c r="I56" s="1805"/>
      <c r="J56" s="2519" t="str">
        <f>IF(项目基本情况!K6="上海银行",IF(J55="",4,J55+1),"")</f>
        <v/>
      </c>
      <c r="K56" s="3712" t="str">
        <f>IF(项目基本情况!K6="上海银行","其他处置费用","")</f>
        <v/>
      </c>
      <c r="L56" s="3713"/>
      <c r="M56" s="2521" t="str">
        <f>IF(项目基本情况!K6="上海银行",M69,"")</f>
        <v/>
      </c>
      <c r="N56" s="3712" t="str">
        <f>IF(项目基本情况!K6="上海银行","包含处置中涉及的律师、诉讼、拍卖、评估等费用","")</f>
        <v/>
      </c>
      <c r="O56" s="3715"/>
    </row>
    <row r="57" spans="1:35" ht="12.75">
      <c r="A57" s="2332" t="s">
        <v>1341</v>
      </c>
      <c r="B57" s="3650" t="s">
        <v>1366</v>
      </c>
      <c r="C57" s="3651"/>
      <c r="D57" s="1588">
        <v>0</v>
      </c>
      <c r="E57" s="324" t="s">
        <v>1343</v>
      </c>
      <c r="F57" s="302"/>
      <c r="G57" s="2551"/>
      <c r="H57" s="2555"/>
      <c r="I57" s="1805"/>
      <c r="J57" s="3689">
        <f>IF(AND(J55="",J56=""),4,IF(项目基本情况!K6="上海银行",结果表!J56+1,结果表!J55+1))</f>
        <v>5</v>
      </c>
      <c r="K57" s="3689" t="s">
        <v>1367</v>
      </c>
      <c r="L57" s="2526" t="s">
        <v>1368</v>
      </c>
      <c r="M57" s="2527"/>
      <c r="N57" s="2528">
        <f ca="1">SUMIF(M52:M56,"&lt;9e307")</f>
        <v>61541</v>
      </c>
      <c r="O57" s="2529"/>
      <c r="P57" s="2686">
        <f ca="1">N57/M49</f>
        <v>0.5760162487481163</v>
      </c>
    </row>
    <row r="58" spans="1:35" ht="24.75">
      <c r="A58" s="2332" t="s">
        <v>1352</v>
      </c>
      <c r="B58" s="3650" t="s">
        <v>1369</v>
      </c>
      <c r="C58" s="3624"/>
      <c r="D58" s="2321">
        <f ca="1">IF(H58="转让取得",C81,C97)</f>
        <v>60470</v>
      </c>
      <c r="E58" s="2331" t="s">
        <v>1364</v>
      </c>
      <c r="F58" s="302" t="s">
        <v>28</v>
      </c>
      <c r="G58" s="2551"/>
      <c r="H58" s="2554"/>
      <c r="I58" s="1805"/>
      <c r="J58" s="3689"/>
      <c r="K58" s="3689"/>
      <c r="L58" s="2526" t="s">
        <v>1370</v>
      </c>
      <c r="M58" s="2530"/>
      <c r="N58" s="2531" t="str">
        <f ca="1">NUMBERSTRING(INT(N57*10000),2)&amp;"元整"</f>
        <v>陆亿壹仟伍佰肆拾壹万元整</v>
      </c>
      <c r="O58" s="2532"/>
    </row>
    <row r="59" spans="1:35" ht="24.75" thickBot="1">
      <c r="A59" s="3692" t="s">
        <v>1371</v>
      </c>
      <c r="B59" s="3693"/>
      <c r="C59" s="3693"/>
      <c r="D59" s="2556">
        <f ca="1">IF(H59="非个人房产","——",IF(H59="个人住宅（满五唯一有凭证）",0,IF(H59="个人其他（无凭证）",ROUND(D45*F59,0),ROUND(C67*F59,0))))</f>
        <v>1018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2133</v>
      </c>
      <c r="J59" s="3690">
        <f>J57+1</f>
        <v>6</v>
      </c>
      <c r="K59" s="3689" t="s">
        <v>1372</v>
      </c>
      <c r="L59" s="2519" t="s">
        <v>1368</v>
      </c>
      <c r="M59" s="2533"/>
      <c r="N59" s="2534">
        <f ca="1">M49-N57</f>
        <v>45298</v>
      </c>
      <c r="O59" s="2535"/>
    </row>
    <row r="60" spans="1:35" ht="12" customHeight="1">
      <c r="A60" s="1806"/>
      <c r="B60" s="1745"/>
      <c r="C60" s="1745"/>
      <c r="D60" s="1745"/>
      <c r="E60" s="1576"/>
      <c r="F60" s="1805"/>
      <c r="G60" s="1805"/>
      <c r="H60" s="1807"/>
      <c r="I60" s="129"/>
      <c r="J60" s="3691"/>
      <c r="K60" s="3689"/>
      <c r="L60" s="2526" t="s">
        <v>1370</v>
      </c>
      <c r="M60" s="2530"/>
      <c r="N60" s="2531" t="str">
        <f ca="1">NUMBERSTRING(INT(N59*10000),2)&amp;"元整"</f>
        <v>肆亿伍仟贰佰玖拾捌万元整</v>
      </c>
      <c r="O60" s="2532"/>
    </row>
    <row r="61" spans="1:35" ht="13.5" thickBot="1">
      <c r="A61" s="3637" t="s">
        <v>1373</v>
      </c>
      <c r="B61" s="3637"/>
      <c r="C61" s="3637"/>
      <c r="D61" s="3637"/>
      <c r="E61" s="3637"/>
      <c r="F61" s="1805"/>
      <c r="G61" s="1805"/>
      <c r="H61" s="1807"/>
      <c r="I61" s="129"/>
      <c r="J61" s="2519">
        <f>J59+1</f>
        <v>7</v>
      </c>
      <c r="K61" s="3689" t="s">
        <v>1374</v>
      </c>
      <c r="L61" s="3689"/>
      <c r="M61" s="2536"/>
      <c r="N61" s="2537">
        <f ca="1">ROUND(N59*10000/'数据-汇总表'!E3,0)</f>
        <v>1672</v>
      </c>
      <c r="O61" s="2538"/>
    </row>
    <row r="62" spans="1:35" ht="12.75">
      <c r="A62" s="3655" t="s">
        <v>1375</v>
      </c>
      <c r="B62" s="3656"/>
      <c r="C62" s="2018"/>
      <c r="D62" s="2018" t="s">
        <v>1376</v>
      </c>
      <c r="E62" s="166" t="s">
        <v>1377</v>
      </c>
      <c r="F62" s="1805"/>
      <c r="G62" s="1805"/>
      <c r="H62" s="1807"/>
      <c r="I62" s="129"/>
    </row>
    <row r="63" spans="1:35" ht="12.75">
      <c r="A63" s="173" t="s">
        <v>330</v>
      </c>
      <c r="B63" s="167" t="s">
        <v>1378</v>
      </c>
      <c r="C63" s="2560">
        <f ca="1">ROUND((C64+C65)/(1+'数据-取费表'!C42),0)</f>
        <v>101751</v>
      </c>
      <c r="D63" s="167"/>
      <c r="E63" s="168"/>
      <c r="F63" s="1805"/>
      <c r="G63" s="1805"/>
      <c r="H63" s="1807"/>
      <c r="I63" s="129"/>
      <c r="J63" s="3714" t="s">
        <v>1379</v>
      </c>
      <c r="K63" s="1330" t="s">
        <v>1380</v>
      </c>
      <c r="L63" s="1330">
        <f ca="1">IF(M49&gt;10000,M49*0.5%,IF(AND(M49&gt;1000,M49&lt;=10000),M49*1%,IF(AND(M49&gt;100,M49&lt;=1000),M49*3%,IF(AND(M49&gt;10,M49&lt;=100),M49*5%,M49*8%))))</f>
        <v>534.19500000000005</v>
      </c>
      <c r="M63" s="302">
        <f ca="1">ROUND(L63,1)</f>
        <v>534.20000000000005</v>
      </c>
      <c r="N63" s="2539"/>
      <c r="Z63" s="1750"/>
      <c r="AI63" s="1751"/>
    </row>
    <row r="64" spans="1:35" ht="14.25" customHeight="1">
      <c r="A64" s="169" t="s">
        <v>325</v>
      </c>
      <c r="B64" s="170" t="s">
        <v>1381</v>
      </c>
      <c r="C64" s="2561">
        <f ca="1">D45</f>
        <v>106839</v>
      </c>
      <c r="D64" s="170" t="s">
        <v>26</v>
      </c>
      <c r="E64" s="172"/>
      <c r="F64" s="1805"/>
      <c r="G64" s="1805"/>
      <c r="H64" s="1807"/>
      <c r="I64" s="129"/>
      <c r="J64" s="3714"/>
      <c r="K64" s="1330" t="s">
        <v>1382</v>
      </c>
      <c r="L64" s="1330">
        <f ca="1">IF(M49&gt;2000,M49*0.5%,IF(AND(M49&gt;1000,M49&lt;=2000),M49*0.6%,IF(AND(M49&gt;500,M49&lt;=1000),M49*0.7%,IF(AND(M49&gt;200,M49&lt;=500),M49*0.8%,IF(AND(M49&gt;100,M49&lt;=200),M49*0.9%,IF(AND(M49&gt;50,M49&lt;=100),M49*1%,IF(AND(M49&gt;20,M49&lt;=50),M49*1.5%,IF(AND(M49&gt;10,M49&lt;=20),M49*2%,IF(AND(M49&gt;1,M49&lt;=10),M49*2.5%)))))))))</f>
        <v>534.19500000000005</v>
      </c>
      <c r="M64" s="302">
        <f t="shared" ref="M64:M65" ca="1" si="1">ROUND(L64,1)</f>
        <v>534.20000000000005</v>
      </c>
      <c r="N64" s="2540" t="s">
        <v>1383</v>
      </c>
      <c r="Z64" s="1750"/>
      <c r="AI64" s="1751"/>
    </row>
    <row r="65" spans="1:35" ht="14.25" customHeight="1">
      <c r="A65" s="169" t="s">
        <v>326</v>
      </c>
      <c r="B65" s="170" t="s">
        <v>1384</v>
      </c>
      <c r="C65" s="2562"/>
      <c r="D65" s="170"/>
      <c r="E65" s="172"/>
      <c r="F65" s="1805"/>
      <c r="G65" s="1805"/>
      <c r="H65" s="1807"/>
      <c r="I65" s="129"/>
      <c r="J65" s="3714"/>
      <c r="K65" s="1330" t="s">
        <v>1385</v>
      </c>
      <c r="L65" s="1330">
        <f ca="1">IF(M49&gt;1000,M49*0.1%,IF(AND(M49&gt;500,M49&lt;=1000),M49*0.5%,IF(AND(M49&gt;50,M49&lt;=500),M49*1%,IF(AND(M49&gt;1,M49&lt;=50),M49*1.5%))))</f>
        <v>106.839</v>
      </c>
      <c r="M65" s="302">
        <f t="shared" ca="1" si="1"/>
        <v>106.8</v>
      </c>
      <c r="N65" s="2540" t="s">
        <v>1383</v>
      </c>
      <c r="Z65" s="1750"/>
      <c r="AI65" s="1751"/>
    </row>
    <row r="66" spans="1:35" ht="14.25" customHeight="1">
      <c r="A66" s="173" t="s">
        <v>327</v>
      </c>
      <c r="B66" s="174" t="s">
        <v>1386</v>
      </c>
      <c r="C66" s="2563"/>
      <c r="D66" s="174" t="s">
        <v>26</v>
      </c>
      <c r="E66" s="1336" t="s">
        <v>671</v>
      </c>
      <c r="F66" s="1805"/>
      <c r="G66" s="1805"/>
      <c r="H66" s="1807"/>
      <c r="I66" s="129"/>
      <c r="J66" s="3714"/>
      <c r="K66" s="1330" t="s">
        <v>1387</v>
      </c>
      <c r="L66" s="1330">
        <f ca="1">M49*0.5%</f>
        <v>534.19500000000005</v>
      </c>
      <c r="M66" s="302">
        <f ca="1">IF(L66&gt;0.5,0.5,ROUND(L66,0))</f>
        <v>0.5</v>
      </c>
      <c r="N66" s="2540" t="s">
        <v>1388</v>
      </c>
      <c r="Z66" s="1750"/>
      <c r="AI66" s="1751"/>
    </row>
    <row r="67" spans="1:35" ht="14.25" customHeight="1">
      <c r="A67" s="173" t="s">
        <v>328</v>
      </c>
      <c r="B67" s="174" t="s">
        <v>1389</v>
      </c>
      <c r="C67" s="2564">
        <f ca="1">C63-C66</f>
        <v>101751</v>
      </c>
      <c r="D67" s="170" t="s">
        <v>26</v>
      </c>
      <c r="E67" s="172"/>
      <c r="F67" s="1805"/>
      <c r="G67" s="1805"/>
      <c r="H67" s="1807"/>
      <c r="I67" s="129"/>
      <c r="J67" s="3714"/>
      <c r="K67" s="1330" t="s">
        <v>1390</v>
      </c>
      <c r="L67" s="1330">
        <f ca="1">IF(M49&gt;=10000,(8.25+(M49-10000)*0.01%),IF(AND(M49&gt;=8000,M49&lt;10000),(7.85+(M49-8000)*0.02%),IF(AND(M49&gt;=5000,M49&lt;8000),(6.65+(M49-5000)*0.04%),IF(AND(M49&gt;=2000,M49&lt;5000),(4.25+(PM49-2000)*0.08%),IF(AND(M49&gt;=1000,M49&lt;2000),(2.75+(M49-1000)*0.15%),IF(AND(M49&gt;=100,M49&lt;1000),(0.5+(M49-100)*0.25%),IF(AND(M49&gt;0,M49&lt;100),M49*0.5%)))))))</f>
        <v>17.933900000000001</v>
      </c>
      <c r="M67" s="302">
        <f ca="1">ROUND(L67*0.9,1)</f>
        <v>16.100000000000001</v>
      </c>
      <c r="N67" s="2539"/>
      <c r="Z67" s="1750"/>
      <c r="AI67" s="1751"/>
    </row>
    <row r="68" spans="1:35" ht="14.25" customHeight="1" thickBot="1">
      <c r="A68" s="176" t="s">
        <v>329</v>
      </c>
      <c r="B68" s="177" t="s">
        <v>1391</v>
      </c>
      <c r="C68" s="2565">
        <f ca="1">IF(C67&lt;=0,0,ROUND(C67*D68,0))</f>
        <v>5698</v>
      </c>
      <c r="D68" s="2566">
        <f>'数据-取费表'!B41</f>
        <v>5.6000000000000001E-2</v>
      </c>
      <c r="E68" s="178"/>
      <c r="F68" s="1805"/>
      <c r="G68" s="1805"/>
      <c r="H68" s="1807"/>
      <c r="I68" s="129"/>
      <c r="J68" s="3714"/>
      <c r="K68" s="1330" t="s">
        <v>1392</v>
      </c>
      <c r="L68" s="1330">
        <f ca="1">IF(M49&gt;10000,M49*0.5%,IF(AND(M49&gt;5000,M49&lt;=10000),M49*1%,IF(AND(M49&gt;1000,M49&lt;=5000),M49*2%,IF(AND(M49&gt;200,M49&lt;=1000),M49*3%,M49*5%))))</f>
        <v>534.19500000000005</v>
      </c>
      <c r="M68" s="302">
        <f ca="1">ROUND(L68,1)</f>
        <v>534.20000000000005</v>
      </c>
      <c r="N68" s="2539"/>
      <c r="Z68" s="1750"/>
      <c r="AI68" s="1751"/>
    </row>
    <row r="69" spans="1:35" s="1770" customFormat="1" ht="16.5" customHeight="1">
      <c r="A69" s="1808"/>
      <c r="B69" s="1809"/>
      <c r="C69" s="1810"/>
      <c r="D69" s="1811"/>
      <c r="E69" s="1812"/>
      <c r="F69" s="1576"/>
      <c r="G69" s="1576"/>
      <c r="H69" s="1575"/>
      <c r="I69" s="1745"/>
      <c r="J69" s="3714"/>
      <c r="K69" s="1330" t="s">
        <v>1393</v>
      </c>
      <c r="L69" s="1330"/>
      <c r="M69" s="302">
        <f ca="1">ROUND(SUM(M63:M68),0)</f>
        <v>1726</v>
      </c>
      <c r="N69" s="2541">
        <f ca="1">M69/M49</f>
        <v>1.6155149336852647E-2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4" customFormat="1" ht="15" thickBot="1">
      <c r="A70" s="3676" t="s">
        <v>1394</v>
      </c>
      <c r="B70" s="3677"/>
      <c r="C70" s="3677"/>
      <c r="D70" s="3677"/>
      <c r="E70" s="3677"/>
      <c r="F70" s="3677"/>
      <c r="G70" s="3677"/>
      <c r="H70" s="3677"/>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5" t="s">
        <v>1375</v>
      </c>
      <c r="B71" s="3656"/>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101751</v>
      </c>
      <c r="D72" s="170" t="s">
        <v>26</v>
      </c>
      <c r="E72" s="2328"/>
      <c r="F72" s="2327"/>
      <c r="G72" s="2327"/>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611</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650" t="s">
        <v>1402</v>
      </c>
      <c r="F76" s="3624"/>
      <c r="G76" s="3624"/>
      <c r="H76" s="367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611</v>
      </c>
      <c r="D78" s="2573">
        <f>'数据-取费表'!B43</f>
        <v>6.000000000000001E-3</v>
      </c>
      <c r="E78" s="3634" t="s">
        <v>1406</v>
      </c>
      <c r="F78" s="3635"/>
      <c r="G78" s="3635"/>
      <c r="H78" s="364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101140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165.53191489361703</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60470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6" t="s">
        <v>1410</v>
      </c>
      <c r="B83" s="3677"/>
      <c r="C83" s="3677"/>
      <c r="D83" s="3677"/>
      <c r="E83" s="3677"/>
      <c r="F83" s="3677"/>
      <c r="G83" s="3677"/>
      <c r="H83" s="367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5" t="s">
        <v>1375</v>
      </c>
      <c r="B84" s="3656"/>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101751</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611</v>
      </c>
      <c r="D86" s="2577"/>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4"/>
      <c r="G88" s="194" t="s">
        <v>1414</v>
      </c>
      <c r="H88" s="1821"/>
      <c r="I88" s="1818"/>
      <c r="J88" s="2517"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4"/>
      <c r="G90" s="3716" t="s">
        <v>2125</v>
      </c>
      <c r="H90" s="3717"/>
      <c r="I90" s="1818"/>
      <c r="J90" s="2517"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634" t="s">
        <v>1419</v>
      </c>
      <c r="F91" s="3635"/>
      <c r="G91" s="363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634" t="s">
        <v>1422</v>
      </c>
      <c r="F92" s="3635"/>
      <c r="G92" s="3635"/>
      <c r="H92" s="3644"/>
      <c r="I92" s="1818"/>
      <c r="J92" s="2518"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611</v>
      </c>
      <c r="D93" s="2573">
        <f>'数据-取费表'!B43</f>
        <v>6.000000000000001E-3</v>
      </c>
      <c r="E93" s="3634" t="s">
        <v>1406</v>
      </c>
      <c r="F93" s="3635"/>
      <c r="G93" s="3635"/>
      <c r="H93" s="364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645" t="s">
        <v>1426</v>
      </c>
      <c r="F94" s="3646"/>
      <c r="G94" s="3646"/>
      <c r="H94" s="364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101140</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165.53191489361703</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60470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5"/>
      <c r="C98" s="1745"/>
      <c r="D98" s="1745"/>
      <c r="E98" s="1576"/>
      <c r="F98" s="1576"/>
      <c r="G98" s="1576"/>
      <c r="H98" s="1575"/>
      <c r="I98" s="129"/>
    </row>
    <row r="99" spans="1:35" ht="21.75" customHeight="1" thickBot="1">
      <c r="A99" s="1797" t="s">
        <v>1427</v>
      </c>
      <c r="B99" s="1745"/>
      <c r="C99" s="1745"/>
      <c r="D99" s="1745"/>
      <c r="E99" s="1576"/>
      <c r="F99" s="1576"/>
      <c r="G99" s="1576"/>
      <c r="H99" s="1575"/>
      <c r="I99" s="129"/>
    </row>
    <row r="100" spans="1:35" ht="18.75" customHeight="1">
      <c r="A100" s="3604" t="s">
        <v>1428</v>
      </c>
      <c r="B100" s="3605"/>
      <c r="C100" s="3605"/>
      <c r="D100" s="3636"/>
      <c r="E100" s="3605" t="s">
        <v>1429</v>
      </c>
      <c r="F100" s="3605"/>
      <c r="G100" s="3605"/>
      <c r="H100" s="3636"/>
      <c r="I100" s="129"/>
    </row>
    <row r="101" spans="1:35" ht="18.75" customHeight="1">
      <c r="A101" s="3697" t="s">
        <v>1430</v>
      </c>
      <c r="B101" s="3698"/>
      <c r="C101" s="2581" t="str">
        <f>C4</f>
        <v>成本法</v>
      </c>
      <c r="D101" s="2582" t="str">
        <f>D4</f>
        <v>收益法</v>
      </c>
      <c r="E101" s="3711" t="s">
        <v>1431</v>
      </c>
      <c r="F101" s="3668"/>
      <c r="G101" s="1824" t="s">
        <v>1432</v>
      </c>
      <c r="H101" s="2591">
        <f ca="1">H118</f>
        <v>106839</v>
      </c>
      <c r="I101" s="129"/>
    </row>
    <row r="102" spans="1:35" ht="18.75" customHeight="1">
      <c r="A102" s="3670" t="s">
        <v>1433</v>
      </c>
      <c r="B102" s="2580" t="s">
        <v>1432</v>
      </c>
      <c r="C102" s="2581">
        <f ca="1">IF(D32="楼面单价",ROUND(C19,0),C19)</f>
        <v>117974</v>
      </c>
      <c r="D102" s="2582">
        <f ca="1">IF(D32="楼面单价",ROUND(D19,0),D19)</f>
        <v>90136</v>
      </c>
      <c r="E102" s="3711"/>
      <c r="F102" s="3668"/>
      <c r="G102" s="1824" t="s">
        <v>1434</v>
      </c>
      <c r="H102" s="2551">
        <f ca="1">I118</f>
        <v>3943</v>
      </c>
      <c r="I102" s="129"/>
    </row>
    <row r="103" spans="1:35" ht="42.75" customHeight="1">
      <c r="A103" s="3670"/>
      <c r="B103" s="2580" t="s">
        <v>1434</v>
      </c>
      <c r="C103" s="2583">
        <f ca="1">C20</f>
        <v>4354</v>
      </c>
      <c r="D103" s="2584">
        <f ca="1">D20</f>
        <v>3327</v>
      </c>
      <c r="E103" s="3705" t="s">
        <v>1435</v>
      </c>
      <c r="F103" s="3706"/>
      <c r="G103" s="1825" t="s">
        <v>1436</v>
      </c>
      <c r="H103" s="2591">
        <f>IF(D36="正常操作",H104+H105+H106,H105+H106)</f>
        <v>0</v>
      </c>
      <c r="I103" s="129"/>
    </row>
    <row r="104" spans="1:35" ht="18.75" customHeight="1">
      <c r="A104" s="3670" t="s">
        <v>1437</v>
      </c>
      <c r="B104" s="2585" t="s">
        <v>1432</v>
      </c>
      <c r="C104" s="2586">
        <f ca="1">H118</f>
        <v>106839</v>
      </c>
      <c r="D104" s="2587"/>
      <c r="E104" s="1672" t="s">
        <v>1438</v>
      </c>
      <c r="F104" s="1664"/>
      <c r="G104" s="1825" t="s">
        <v>1436</v>
      </c>
      <c r="H104" s="2592">
        <f>IF(D36="同一抵押权人同一抵押物续贷",C36&amp;"（续贷，未扣减，详见特别提示）",C36)</f>
        <v>0</v>
      </c>
      <c r="I104" s="129"/>
    </row>
    <row r="105" spans="1:35" ht="18.75" customHeight="1" thickBot="1">
      <c r="A105" s="3671"/>
      <c r="B105" s="2588" t="s">
        <v>1434</v>
      </c>
      <c r="C105" s="2589">
        <f ca="1">I118</f>
        <v>3943</v>
      </c>
      <c r="D105" s="2590"/>
      <c r="E105" s="1672" t="s">
        <v>1439</v>
      </c>
      <c r="F105" s="1664"/>
      <c r="G105" s="1825" t="s">
        <v>1436</v>
      </c>
      <c r="H105" s="2593">
        <f>C37</f>
        <v>0</v>
      </c>
      <c r="I105" s="129"/>
    </row>
    <row r="106" spans="1:35" ht="18.75" customHeight="1">
      <c r="A106" s="1745" t="s">
        <v>1440</v>
      </c>
      <c r="B106" s="1745"/>
      <c r="C106" s="1745"/>
      <c r="D106" s="1745"/>
      <c r="E106" s="1826" t="s">
        <v>1441</v>
      </c>
      <c r="F106" s="1664"/>
      <c r="G106" s="1825" t="s">
        <v>1436</v>
      </c>
      <c r="H106" s="2593">
        <f>C38</f>
        <v>0</v>
      </c>
      <c r="I106" s="129"/>
    </row>
    <row r="107" spans="1:35" ht="18.75" customHeight="1">
      <c r="A107" s="129"/>
      <c r="B107" s="129"/>
      <c r="C107" s="129"/>
      <c r="D107" s="129"/>
      <c r="E107" s="3667" t="str">
        <f>IF(项目基本情况!E8="已注销","——","3.房地产抵押价值")</f>
        <v>3.房地产抵押价值</v>
      </c>
      <c r="F107" s="3668"/>
      <c r="G107" s="1824" t="s">
        <v>1432</v>
      </c>
      <c r="H107" s="2591">
        <f ca="1">IF(E107="——","——",H101-H103)</f>
        <v>106839</v>
      </c>
      <c r="I107" s="129"/>
    </row>
    <row r="108" spans="1:35" ht="18.75" customHeight="1">
      <c r="A108" s="129"/>
      <c r="B108" s="129"/>
      <c r="C108" s="129"/>
      <c r="D108" s="129"/>
      <c r="E108" s="3667"/>
      <c r="F108" s="3668"/>
      <c r="G108" s="1824" t="s">
        <v>1434</v>
      </c>
      <c r="H108" s="2551">
        <f ca="1">IF(H107=H101,H102,ROUND(H107*10000/'数据-汇总表'!E3,0))</f>
        <v>3943</v>
      </c>
      <c r="I108" s="129"/>
    </row>
    <row r="109" spans="1:35" ht="18.75" customHeight="1">
      <c r="A109" s="129"/>
      <c r="B109" s="129"/>
      <c r="C109" s="129"/>
      <c r="D109" s="129"/>
      <c r="E109" s="3667" t="str">
        <f>IF(项目基本情况!E8="已注销及未注销","4.抵押担保权已注销时的房地产抵押价值",IF(项目基本情况!E8="已注销","3.抵押担保权已注销时的房地产抵押价值","——"))</f>
        <v>——</v>
      </c>
      <c r="F109" s="3668"/>
      <c r="G109" s="1824" t="s">
        <v>1432</v>
      </c>
      <c r="H109" s="2594" t="str">
        <f>IF(E109="——","——",H101-H105-H106)</f>
        <v>——</v>
      </c>
      <c r="I109" s="129"/>
    </row>
    <row r="110" spans="1:35" ht="18.75" customHeight="1">
      <c r="A110" s="129"/>
      <c r="B110" s="129"/>
      <c r="C110" s="129"/>
      <c r="D110" s="129"/>
      <c r="E110" s="3667"/>
      <c r="F110" s="3668"/>
      <c r="G110" s="1824" t="s">
        <v>1434</v>
      </c>
      <c r="H110" s="2551" t="str">
        <f>IF(H109="——","——",ROUND(H109*10000/'数据-汇总表'!E3,0))</f>
        <v>——</v>
      </c>
      <c r="I110" s="129"/>
    </row>
    <row r="111" spans="1:35" ht="18.75" customHeight="1">
      <c r="A111" s="129"/>
      <c r="B111" s="129"/>
      <c r="C111" s="129"/>
      <c r="D111" s="129"/>
      <c r="E111" s="3699" t="str">
        <f>IF(项目基本情况!E9="抵押净值",IF(OR(项目基本情况!E8="已注销",项目基本情况!E8="房地产抵押价值"),"4.抵押净值","5.抵押净值"),"——")</f>
        <v>——</v>
      </c>
      <c r="F111" s="3669"/>
      <c r="G111" s="1824" t="s">
        <v>1432</v>
      </c>
      <c r="H111" s="2591" t="str">
        <f>IF(E111="——","——",N59)</f>
        <v>——</v>
      </c>
      <c r="I111" s="129"/>
    </row>
    <row r="112" spans="1:35" ht="18.75" customHeight="1" thickBot="1">
      <c r="A112" s="129"/>
      <c r="B112" s="129"/>
      <c r="C112" s="129"/>
      <c r="D112" s="129"/>
      <c r="E112" s="3700"/>
      <c r="F112" s="3701"/>
      <c r="G112" s="1827" t="s">
        <v>1434</v>
      </c>
      <c r="H112" s="2595" t="str">
        <f>IF(E111="——","——",N61)</f>
        <v>——</v>
      </c>
      <c r="I112" s="129"/>
    </row>
    <row r="113" spans="1:27" ht="18.75" customHeight="1">
      <c r="A113" s="129"/>
      <c r="B113" s="129"/>
      <c r="C113" s="129"/>
      <c r="D113" s="129"/>
      <c r="E113" s="3672" t="s">
        <v>1440</v>
      </c>
      <c r="F113" s="3672"/>
      <c r="G113" s="3672"/>
      <c r="H113" s="3672"/>
      <c r="I113" s="129"/>
    </row>
    <row r="114" spans="1:27" ht="3.75" customHeight="1">
      <c r="A114" s="1745"/>
      <c r="B114" s="1745"/>
      <c r="C114" s="1745"/>
      <c r="D114" s="1745"/>
      <c r="E114" s="1806"/>
      <c r="F114" s="1806"/>
      <c r="G114" s="1806"/>
      <c r="H114" s="1806"/>
      <c r="I114" s="1745"/>
    </row>
    <row r="115" spans="1:27" ht="18.75" customHeight="1">
      <c r="A115" s="3682" t="s">
        <v>1442</v>
      </c>
      <c r="B115" s="3683"/>
      <c r="C115" s="3683"/>
      <c r="D115" s="3683"/>
      <c r="E115" s="3683"/>
      <c r="F115" s="3683"/>
      <c r="G115" s="3683"/>
      <c r="H115" s="3683"/>
      <c r="I115" s="3684"/>
    </row>
    <row r="116" spans="1:27" ht="27" customHeight="1">
      <c r="A116" s="3638" t="s">
        <v>1443</v>
      </c>
      <c r="B116" s="3673" t="s">
        <v>3449</v>
      </c>
      <c r="C116" s="3673" t="s">
        <v>3789</v>
      </c>
      <c r="D116" s="3686" t="s">
        <v>1444</v>
      </c>
      <c r="E116" s="3687"/>
      <c r="F116" s="3681" t="s">
        <v>3717</v>
      </c>
      <c r="G116" s="3681"/>
      <c r="H116" s="3638" t="s">
        <v>1445</v>
      </c>
      <c r="I116" s="3638"/>
    </row>
    <row r="117" spans="1:27" ht="18.75" customHeight="1">
      <c r="A117" s="3638"/>
      <c r="B117" s="3674"/>
      <c r="C117" s="3674"/>
      <c r="D117" s="2326" t="s">
        <v>1446</v>
      </c>
      <c r="E117" s="2326" t="s">
        <v>1447</v>
      </c>
      <c r="F117" s="2326" t="s">
        <v>1446</v>
      </c>
      <c r="G117" s="2326" t="s">
        <v>1448</v>
      </c>
      <c r="H117" s="2326" t="s">
        <v>1446</v>
      </c>
      <c r="I117" s="2326" t="s">
        <v>1448</v>
      </c>
    </row>
    <row r="118" spans="1:27" ht="24.75" customHeight="1">
      <c r="A118" s="2596" t="str">
        <f>项目基本情况!S2</f>
        <v>天津市北辰区万河路55号“京东智能产业园天津北辰”项目非居住用房房地产</v>
      </c>
      <c r="B118" s="2326">
        <f>M18</f>
        <v>270951.53999999998</v>
      </c>
      <c r="C118" s="2326">
        <f>M19</f>
        <v>242044.6</v>
      </c>
      <c r="D118" s="2326">
        <f ca="1">ROUND(IF(D32="总价",C34,E118*B118/10000),0)</f>
        <v>14677</v>
      </c>
      <c r="E118" s="2326">
        <f ca="1">ROUND(IF(C33="自定义",IF(D32="楼面单价",C34,D118*10000/B118),I118-G118),0)</f>
        <v>542</v>
      </c>
      <c r="F118" s="2326">
        <f ca="1">ROUND(IF(D32="总价",C35,G118*B118/10000),0)</f>
        <v>92162</v>
      </c>
      <c r="G118" s="2326">
        <f ca="1">ROUND(IF(D32="楼面单价",C35,F118*10000/B118),0)</f>
        <v>3401</v>
      </c>
      <c r="H118" s="2326">
        <f ca="1">ROUND(IF(D32="总价",C32,I118*B118/10000),0)</f>
        <v>106839</v>
      </c>
      <c r="I118" s="2326">
        <f ca="1">ROUND(IF(D32="楼面单价",C32,H118*10000/B118),0)</f>
        <v>3943</v>
      </c>
    </row>
    <row r="119" spans="1:27" ht="18.75" customHeight="1">
      <c r="A119" s="3638" t="s">
        <v>1449</v>
      </c>
      <c r="B119" s="3638"/>
      <c r="C119" s="3638"/>
      <c r="D119" s="3678" t="str">
        <f ca="1">NUMBERSTRING(INT(D118*10000),2)&amp;"元整"</f>
        <v>壹亿肆仟陆佰柒拾柒万元整</v>
      </c>
      <c r="E119" s="3680"/>
      <c r="F119" s="3678" t="str">
        <f ca="1">NUMBERSTRING(INT(F118*10000),2)&amp;"元整"</f>
        <v>玖亿贰仟壹佰陆拾贰万元整</v>
      </c>
      <c r="G119" s="3680"/>
      <c r="H119" s="3678" t="str">
        <f ca="1">NUMBERSTRING(INT(H118*10000),2)&amp;"元整"</f>
        <v>壹拾亿陆仟捌佰叁拾玖万元整</v>
      </c>
      <c r="I119" s="3680"/>
    </row>
    <row r="120" spans="1:27" ht="18.75" customHeight="1">
      <c r="A120" s="3702" t="str">
        <f>IF(项目基本情况!B9="房地产市场价值","",MID(E103,3,LEN(E103)-2))</f>
        <v>估价师知悉的法定优先受偿款</v>
      </c>
      <c r="B120" s="3703"/>
      <c r="C120" s="3704"/>
      <c r="D120" s="3702">
        <f>H103</f>
        <v>0</v>
      </c>
      <c r="E120" s="3703"/>
      <c r="F120" s="3703"/>
      <c r="G120" s="3703"/>
      <c r="H120" s="3703"/>
      <c r="I120" s="370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8" t="s">
        <v>1449</v>
      </c>
      <c r="B121" s="3679"/>
      <c r="C121" s="3680"/>
      <c r="D121" s="3678" t="str">
        <f>IF(D120=0,"零元整",NUMBERSTRING(INT(D120*10000),2)&amp;"元整")</f>
        <v>零元整</v>
      </c>
      <c r="E121" s="3679"/>
      <c r="F121" s="3679"/>
      <c r="G121" s="3679"/>
      <c r="H121" s="3679"/>
      <c r="I121" s="3680"/>
      <c r="AA121" s="725"/>
    </row>
    <row r="122" spans="1:27" ht="18.75" customHeight="1">
      <c r="A122" s="3669" t="str">
        <f>IF(项目基本情况!B9="房地产市场价值","",MID(E107,3,LEN(E107)-2))</f>
        <v>房地产抵押价值</v>
      </c>
      <c r="B122" s="3669"/>
      <c r="C122" s="3669"/>
      <c r="D122" s="3702">
        <f ca="1">H107</f>
        <v>106839</v>
      </c>
      <c r="E122" s="3703"/>
      <c r="F122" s="3703"/>
      <c r="G122" s="3703"/>
      <c r="H122" s="3703"/>
      <c r="I122" s="3704"/>
      <c r="AA122" s="725"/>
    </row>
    <row r="123" spans="1:27" ht="18.75" customHeight="1">
      <c r="A123" s="3638" t="s">
        <v>1449</v>
      </c>
      <c r="B123" s="3638"/>
      <c r="C123" s="3638"/>
      <c r="D123" s="3678" t="str">
        <f ca="1">NUMBERSTRING(INT(D122*10000),2)&amp;"元整"</f>
        <v>壹拾亿陆仟捌佰叁拾玖万元整</v>
      </c>
      <c r="E123" s="3679"/>
      <c r="F123" s="3679"/>
      <c r="G123" s="3679"/>
      <c r="H123" s="3679"/>
      <c r="I123" s="3680"/>
      <c r="AA123" s="725"/>
    </row>
    <row r="124" spans="1:27" ht="18.75" customHeight="1">
      <c r="A124" s="3669" t="str">
        <f>IF(项目基本情况!B9="房地产市场价值","",MID(E109,3,LEN(E109)-2))</f>
        <v/>
      </c>
      <c r="B124" s="3669"/>
      <c r="C124" s="3669"/>
      <c r="D124" s="3702" t="str">
        <f>H109</f>
        <v>——</v>
      </c>
      <c r="E124" s="3703"/>
      <c r="F124" s="3703"/>
      <c r="G124" s="3703"/>
      <c r="H124" s="3703"/>
      <c r="I124" s="3704"/>
      <c r="AA124" s="725"/>
    </row>
    <row r="125" spans="1:27" ht="18.75" customHeight="1">
      <c r="A125" s="3638" t="s">
        <v>1449</v>
      </c>
      <c r="B125" s="3638"/>
      <c r="C125" s="3638"/>
      <c r="D125" s="3678" t="e">
        <f>NUMBERSTRING(INT(D124*10000),2)&amp;"元整"</f>
        <v>#VALUE!</v>
      </c>
      <c r="E125" s="3679"/>
      <c r="F125" s="3679"/>
      <c r="G125" s="3679"/>
      <c r="H125" s="3679"/>
      <c r="I125" s="3680"/>
      <c r="AA125" s="725"/>
    </row>
    <row r="126" spans="1:27" ht="18.75" customHeight="1">
      <c r="A126" s="3669" t="str">
        <f>IF(项目基本情况!B9="房地产市场价值","",MID(E111,3,LEN(E111)-2))</f>
        <v/>
      </c>
      <c r="B126" s="3669"/>
      <c r="C126" s="3669"/>
      <c r="D126" s="3702" t="str">
        <f>H111</f>
        <v>——</v>
      </c>
      <c r="E126" s="3703"/>
      <c r="F126" s="3703"/>
      <c r="G126" s="3703"/>
      <c r="H126" s="3703"/>
      <c r="I126" s="3704"/>
      <c r="AA126" s="725"/>
    </row>
    <row r="127" spans="1:27" ht="18.75" customHeight="1">
      <c r="A127" s="3638" t="s">
        <v>1449</v>
      </c>
      <c r="B127" s="3638"/>
      <c r="C127" s="3638"/>
      <c r="D127" s="3678" t="e">
        <f>NUMBERSTRING(INT(D126*10000),2)&amp;"元整"</f>
        <v>#VALUE!</v>
      </c>
      <c r="E127" s="3679"/>
      <c r="F127" s="3679"/>
      <c r="G127" s="3679"/>
      <c r="H127" s="3679"/>
      <c r="I127" s="3680"/>
      <c r="AA127" s="725"/>
    </row>
    <row r="128" spans="1:27" ht="21.75" customHeight="1">
      <c r="A128" s="3685" t="s">
        <v>1450</v>
      </c>
      <c r="B128" s="3685"/>
      <c r="C128" s="3685"/>
      <c r="D128" s="3685"/>
      <c r="E128" s="3685"/>
      <c r="F128" s="3685"/>
      <c r="G128" s="3685"/>
      <c r="H128" s="3685"/>
      <c r="I128" s="3685"/>
      <c r="AA128" s="725"/>
    </row>
    <row r="129" spans="1:35" ht="21.75" customHeight="1">
      <c r="A129" s="1828" t="s">
        <v>1451</v>
      </c>
      <c r="B129" s="1829"/>
      <c r="C129" s="1830" t="s">
        <v>1452</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1453</v>
      </c>
      <c r="G135" s="1845"/>
      <c r="H135" s="1845"/>
      <c r="I135" s="1846" t="s">
        <v>1454</v>
      </c>
    </row>
    <row r="136" spans="1:35" ht="21.75" customHeight="1">
      <c r="A136" s="725"/>
      <c r="B136" s="1847"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1456</v>
      </c>
    </row>
    <row r="139" spans="1:35" ht="21.75" customHeight="1">
      <c r="A139" s="725"/>
      <c r="B139" s="1847" t="s">
        <v>1457</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1456</v>
      </c>
    </row>
    <row r="142" spans="1:35" ht="21.75" customHeight="1">
      <c r="A142" s="725"/>
      <c r="B142" s="1847"/>
      <c r="C142" s="1848"/>
      <c r="D142" s="1849"/>
      <c r="E142" s="1849"/>
      <c r="F142" s="1739"/>
      <c r="G142" s="725"/>
      <c r="H142" s="725"/>
      <c r="I142" s="725"/>
    </row>
    <row r="143" spans="1:35" s="130" customFormat="1" ht="21.75" customHeight="1">
      <c r="A143" s="725"/>
      <c r="B143" s="1847"/>
      <c r="C143" s="1848"/>
      <c r="D143" s="1849"/>
      <c r="E143" s="1849"/>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7" sqref="I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8"/>
      <c r="C1" s="198"/>
      <c r="D1" s="198"/>
      <c r="E1" s="198"/>
      <c r="F1" s="198"/>
      <c r="G1" s="1126">
        <f>MATCH(B1,'数据-取费表'!A6:A16,0)+5</f>
        <v>7</v>
      </c>
    </row>
    <row r="2" spans="1:9" s="200" customFormat="1" ht="18" customHeight="1">
      <c r="A2" s="201" t="s">
        <v>1459</v>
      </c>
      <c r="B2" s="202">
        <f ca="1">IF(D2="——",C52,C52-E2)</f>
        <v>117974</v>
      </c>
      <c r="C2" s="199" t="s">
        <v>1460</v>
      </c>
      <c r="D2" s="1850" t="s">
        <v>43</v>
      </c>
      <c r="E2" s="1169"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4354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20029</v>
      </c>
      <c r="D5" s="211" t="s">
        <v>1466</v>
      </c>
      <c r="E5" s="212" t="s">
        <v>1467</v>
      </c>
      <c r="F5" s="212" t="s">
        <v>1468</v>
      </c>
      <c r="G5" s="213"/>
    </row>
    <row r="6" spans="1:9" s="214" customFormat="1" ht="13.5" customHeight="1">
      <c r="A6" s="778" t="s">
        <v>1469</v>
      </c>
      <c r="B6" s="215" t="s">
        <v>1470</v>
      </c>
      <c r="C6" s="216">
        <f>'土地比较法-工业'!F61</f>
        <v>19436</v>
      </c>
      <c r="D6" s="217"/>
      <c r="E6" s="218"/>
      <c r="F6" s="218"/>
      <c r="G6" s="219"/>
    </row>
    <row r="7" spans="1:9" s="214" customFormat="1" ht="13.5" customHeight="1">
      <c r="A7" s="778" t="s">
        <v>1471</v>
      </c>
      <c r="B7" s="215" t="s">
        <v>1472</v>
      </c>
      <c r="C7" s="220">
        <f>ROUND(C6*F7,0)</f>
        <v>593</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3" t="s">
        <v>3714</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412</v>
      </c>
      <c r="F9" s="221"/>
      <c r="G9" s="1854" t="s">
        <v>3715</v>
      </c>
      <c r="H9" s="1137"/>
      <c r="I9" s="1855" t="s">
        <v>1476</v>
      </c>
    </row>
    <row r="10" spans="1:9" s="214" customFormat="1" ht="13.5" customHeight="1">
      <c r="A10" s="779" t="s">
        <v>356</v>
      </c>
      <c r="B10" s="224" t="s">
        <v>1477</v>
      </c>
      <c r="C10" s="225">
        <f ca="1">ROUND(D10*E10/10000,0)</f>
        <v>13006</v>
      </c>
      <c r="D10" s="845">
        <f ca="1">IF(B1="",'数据-汇总表'!E6,IF(INDIRECT("'数据-取费表'!c"&amp;$G$1)="住宅",INDIRECT("'数据-取费表'!s"&amp;$G$1),INDIRECT("'数据-取费表'!k"&amp;$G$1)+INDIRECT("'数据-取费表'!s"&amp;$G$1)))</f>
        <v>270951.53999999998</v>
      </c>
      <c r="E10" s="225">
        <f>'数据-取费表'!B28</f>
        <v>480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270951.53999999998</v>
      </c>
      <c r="E19" s="211">
        <f>'数据-取费表'!B31</f>
        <v>200</v>
      </c>
      <c r="F19" s="231"/>
      <c r="G19" s="1853" t="s">
        <v>3716</v>
      </c>
    </row>
    <row r="20" spans="1:7" s="214" customFormat="1" ht="13.5" customHeight="1">
      <c r="A20" s="255" t="s">
        <v>1490</v>
      </c>
      <c r="B20" s="210" t="s">
        <v>1491</v>
      </c>
      <c r="C20" s="232">
        <f>ROUND((C5+C19)*F20,0)</f>
        <v>401</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1377</v>
      </c>
      <c r="D22" s="235">
        <f ca="1">C26</f>
        <v>6.9999999999999999E-4</v>
      </c>
      <c r="E22" s="236" t="s">
        <v>1495</v>
      </c>
      <c r="F22" s="237">
        <f ca="1">'数据-取费表'!B40</f>
        <v>3.3500000000000002E-2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1364</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13</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2043</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ROUND((C5+C19+C20)*F27*'数据-取费表'!B21/'数据-取费表'!B20,0)</f>
        <v>2043</v>
      </c>
      <c r="D28" s="235"/>
      <c r="E28" s="236"/>
      <c r="F28" s="246"/>
      <c r="G28" s="247"/>
    </row>
    <row r="29" spans="1:7" s="214" customFormat="1" ht="13.5" customHeight="1">
      <c r="A29" s="780" t="s">
        <v>347</v>
      </c>
      <c r="B29" s="248" t="s">
        <v>1514</v>
      </c>
      <c r="C29" s="238">
        <f ca="1">ROUND(C21*F27*'数据-取费表'!B21/'数据-取费表'!B20,4)</f>
        <v>2E-3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25812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75159</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66419</v>
      </c>
      <c r="D34" s="217"/>
      <c r="E34" s="220"/>
      <c r="F34" s="257">
        <f ca="1">IF('数据-取费表'!B24=0,1,IF(B1="",'数据-取费表'!N16,INDIRECT("'数据-取费表'!n"&amp;$G$1)))</f>
        <v>1</v>
      </c>
      <c r="G34" s="219" t="s">
        <v>1523</v>
      </c>
    </row>
    <row r="35" spans="1:7" ht="13.5" customHeight="1">
      <c r="A35" s="780" t="s">
        <v>351</v>
      </c>
      <c r="B35" s="215" t="s">
        <v>1524</v>
      </c>
      <c r="C35" s="220">
        <f ca="1">ROUND(C34*F35,0)</f>
        <v>1993</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5419</v>
      </c>
      <c r="D37" s="217">
        <f ca="1">D19</f>
        <v>270951.53999999998</v>
      </c>
      <c r="E37" s="249">
        <f>'数据-取费表'!B35</f>
        <v>200</v>
      </c>
      <c r="F37" s="259"/>
      <c r="G37" s="261" t="s">
        <v>1529</v>
      </c>
    </row>
    <row r="38" spans="1:7" ht="13.5" customHeight="1">
      <c r="A38" s="780" t="s">
        <v>354</v>
      </c>
      <c r="B38" s="215" t="s">
        <v>1530</v>
      </c>
      <c r="C38" s="220">
        <f ca="1">ROUND(C34*F38,0)</f>
        <v>1328</v>
      </c>
      <c r="D38" s="220"/>
      <c r="E38" s="220"/>
      <c r="F38" s="259">
        <f>'数据-取费表'!B36</f>
        <v>0.02</v>
      </c>
      <c r="G38" s="219" t="s">
        <v>1525</v>
      </c>
    </row>
    <row r="39" spans="1:7" s="214" customFormat="1" ht="13.5" customHeight="1">
      <c r="A39" s="255" t="s">
        <v>1531</v>
      </c>
      <c r="B39" s="210" t="s">
        <v>1532</v>
      </c>
      <c r="C39" s="232">
        <f ca="1">ROUND(C33*F20,0)</f>
        <v>1503</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2568</v>
      </c>
      <c r="D41" s="235">
        <f ca="1">C44</f>
        <v>6.9999999999999999E-4</v>
      </c>
      <c r="E41" s="236" t="s">
        <v>1536</v>
      </c>
      <c r="F41" s="237">
        <f ca="1">F22</f>
        <v>3.3500000000000002E-2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2518</v>
      </c>
      <c r="D42" s="238"/>
      <c r="E42" s="238"/>
      <c r="F42" s="239"/>
      <c r="G42" s="3718" t="s">
        <v>1541</v>
      </c>
    </row>
    <row r="43" spans="1:7" ht="13.5" customHeight="1">
      <c r="A43" s="780" t="s">
        <v>347</v>
      </c>
      <c r="B43" s="215" t="s">
        <v>1542</v>
      </c>
      <c r="C43" s="238">
        <f ca="1">ROUND(IF('数据-取费表'!B22&lt;=1,C39*F22*'数据-取费表'!B21/2,C39*(POWER((1+F22),'数据-取费表'!B21/2)-1)),0)</f>
        <v>50</v>
      </c>
      <c r="D43" s="238"/>
      <c r="E43" s="238"/>
      <c r="F43" s="239"/>
      <c r="G43" s="3719"/>
    </row>
    <row r="44" spans="1:7" ht="13.5" customHeight="1">
      <c r="A44" s="780" t="s">
        <v>348</v>
      </c>
      <c r="B44" s="215" t="s">
        <v>1543</v>
      </c>
      <c r="C44" s="238">
        <f ca="1">ROUND(IF('数据-取费表'!B22&lt;=1,C40*F22*'数据-取费表'!B21/2,C40*(POWER((1+F22),'数据-取费表'!B21/2)-1)),4)</f>
        <v>6.9999999999999999E-4</v>
      </c>
      <c r="D44" s="238"/>
      <c r="E44" s="238"/>
      <c r="F44" s="239"/>
      <c r="G44" s="3720"/>
    </row>
    <row r="45" spans="1:7" s="214" customFormat="1" ht="13.5" customHeight="1">
      <c r="A45" s="255" t="s">
        <v>1544</v>
      </c>
      <c r="B45" s="244" t="s">
        <v>1510</v>
      </c>
      <c r="C45" s="245">
        <f ca="1">C46</f>
        <v>7666</v>
      </c>
      <c r="D45" s="235">
        <f ca="1">C47</f>
        <v>2E-3</v>
      </c>
      <c r="E45" s="236" t="s">
        <v>1536</v>
      </c>
      <c r="F45" s="246">
        <f ca="1">F27</f>
        <v>0.1</v>
      </c>
      <c r="G45" s="247" t="s">
        <v>1545</v>
      </c>
    </row>
    <row r="46" spans="1:7" s="214" customFormat="1" ht="13.5" customHeight="1">
      <c r="A46" s="780" t="s">
        <v>346</v>
      </c>
      <c r="B46" s="248" t="s">
        <v>1546</v>
      </c>
      <c r="C46" s="249">
        <f ca="1">ROUND((C33+C39)*F27,0)</f>
        <v>7666</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1326">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94043</v>
      </c>
      <c r="D49" s="232"/>
      <c r="E49" s="232"/>
      <c r="F49" s="264"/>
      <c r="G49" s="234" t="s">
        <v>1551</v>
      </c>
    </row>
    <row r="50" spans="1:7" s="258" customFormat="1" ht="24">
      <c r="A50" s="255" t="s">
        <v>1552</v>
      </c>
      <c r="B50" s="210" t="s">
        <v>1553</v>
      </c>
      <c r="C50" s="232"/>
      <c r="D50" s="232"/>
      <c r="E50" s="232"/>
      <c r="F50" s="264">
        <f>IF('数据-取费表'!B24=0,'数据-取费表'!N16,1)</f>
        <v>0.98</v>
      </c>
      <c r="G50" s="247" t="s">
        <v>1554</v>
      </c>
    </row>
    <row r="51" spans="1:7" ht="16.5" customHeight="1">
      <c r="A51" s="255" t="s">
        <v>1555</v>
      </c>
      <c r="B51" s="210" t="s">
        <v>1556</v>
      </c>
      <c r="C51" s="232">
        <f ca="1">ROUND(C49*F50,0)</f>
        <v>92162</v>
      </c>
      <c r="D51" s="232"/>
      <c r="E51" s="232"/>
      <c r="F51" s="264"/>
      <c r="G51" s="234" t="s">
        <v>1557</v>
      </c>
    </row>
    <row r="52" spans="1:7" s="208" customFormat="1" ht="16.5" thickBot="1">
      <c r="A52" s="265" t="s">
        <v>1558</v>
      </c>
      <c r="B52" s="266"/>
      <c r="C52" s="267">
        <f ca="1">C31+C51</f>
        <v>117974</v>
      </c>
      <c r="D52" s="266"/>
      <c r="E52" s="266"/>
      <c r="F52" s="266"/>
      <c r="G52" s="268"/>
    </row>
    <row r="55" spans="1:7" ht="15">
      <c r="B55" s="270" t="s">
        <v>1559</v>
      </c>
      <c r="C55" s="271"/>
    </row>
    <row r="56" spans="1:7">
      <c r="B56" s="273" t="s">
        <v>802</v>
      </c>
      <c r="C56" s="275">
        <f ca="1">1-C57</f>
        <v>0.21899999999999997</v>
      </c>
    </row>
    <row r="57" spans="1:7">
      <c r="B57" s="273" t="s">
        <v>803</v>
      </c>
      <c r="C57" s="274">
        <f ca="1">ROUND(C51/C52,3)</f>
        <v>0.78100000000000003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8"/>
      <c r="C1" s="1856" t="s">
        <v>1560</v>
      </c>
      <c r="D1" s="198"/>
      <c r="E1" s="198"/>
      <c r="F1" s="198"/>
      <c r="G1" s="1126">
        <f>MATCH(B1,'数据-取费表'!A6:A16,0)+5</f>
        <v>7</v>
      </c>
      <c r="H1" s="1061" t="str">
        <f>IF(ISERROR(FIND("住宅",B1)),"非住宅","住宅")</f>
        <v>非住宅</v>
      </c>
    </row>
    <row r="2" spans="1:8" s="200" customFormat="1" ht="18" customHeight="1">
      <c r="A2" s="201" t="s">
        <v>1459</v>
      </c>
      <c r="B2" s="3420">
        <f ca="1">ROUND(IF(D2="——",C52/10000,C52/10000-E2),4)</f>
        <v>115907.5181</v>
      </c>
      <c r="C2" s="199" t="s">
        <v>1460</v>
      </c>
      <c r="D2" s="1850" t="s">
        <v>43</v>
      </c>
      <c r="E2" s="1169"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4278</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130056739</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130056739</v>
      </c>
      <c r="D8" s="222"/>
      <c r="E8" s="220"/>
      <c r="F8" s="221"/>
      <c r="G8" s="1853"/>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412</v>
      </c>
      <c r="F9" s="221"/>
      <c r="G9" s="226"/>
    </row>
    <row r="10" spans="1:8" s="214" customFormat="1" ht="13.5" customHeight="1">
      <c r="A10" s="779" t="s">
        <v>356</v>
      </c>
      <c r="B10" s="224" t="s">
        <v>1477</v>
      </c>
      <c r="C10" s="225">
        <f ca="1">ROUND(D10*E10,0)</f>
        <v>130056739</v>
      </c>
      <c r="D10" s="845">
        <f ca="1">IF(B1="",'数据-汇总表'!E6,IF(INDIRECT("'数据-取费表'!c"&amp;$G$1)="住宅",INDIRECT("'数据-取费表'!s"&amp;$G$1),INDIRECT("'数据-取费表'!k"&amp;$G$1)+INDIRECT("'数据-取费表'!s"&amp;$G$1)))</f>
        <v>270951.53999999998</v>
      </c>
      <c r="E10" s="225">
        <f>'数据-取费表'!B28</f>
        <v>480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54190308</v>
      </c>
      <c r="D19" s="849">
        <f ca="1">D9+D10</f>
        <v>270951.53999999998</v>
      </c>
      <c r="E19" s="211">
        <f>'数据-取费表'!B31</f>
        <v>200</v>
      </c>
      <c r="F19" s="231"/>
      <c r="G19" s="1853"/>
    </row>
    <row r="20" spans="1:7" s="214" customFormat="1" ht="13.5" customHeight="1">
      <c r="A20" s="255" t="s">
        <v>1571</v>
      </c>
      <c r="B20" s="210" t="s">
        <v>1572</v>
      </c>
      <c r="C20" s="232">
        <f ca="1">ROUND((C5+C19)*F20,0)</f>
        <v>3684941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12674770</v>
      </c>
      <c r="D22" s="235">
        <f ca="1">C26</f>
        <v>6.9999999999999999E-4</v>
      </c>
      <c r="E22" s="236" t="s">
        <v>1576</v>
      </c>
      <c r="F22" s="237">
        <f ca="1">'数据-取费表'!B40</f>
        <v>3.3500000000000002E-2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8859758</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3691566</v>
      </c>
      <c r="D24" s="238"/>
      <c r="E24" s="238"/>
      <c r="F24" s="239"/>
      <c r="G24" s="240" t="s">
        <v>1583</v>
      </c>
    </row>
    <row r="25" spans="1:7" s="214" customFormat="1" ht="24">
      <c r="A25" s="780" t="s">
        <v>1473</v>
      </c>
      <c r="B25" s="215" t="s">
        <v>1584</v>
      </c>
      <c r="C25" s="1128">
        <f ca="1">ROUND(IF('数据-取费表'!B22&lt;=1,C20*F22*'数据-取费表'!B22/2,C20*(POWER((1+F22),'数据-取费表'!B22/2)-1)),0)</f>
        <v>123446</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18793199</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ROUND((C5+C19+C20)*F27,0)</f>
        <v>18793199</v>
      </c>
      <c r="D28" s="235"/>
      <c r="E28" s="236"/>
      <c r="F28" s="246"/>
      <c r="G28" s="247"/>
    </row>
    <row r="29" spans="1:7" s="214" customFormat="1" ht="13.5" customHeight="1">
      <c r="A29" s="780" t="s">
        <v>347</v>
      </c>
      <c r="B29" s="248" t="s">
        <v>1514</v>
      </c>
      <c r="C29" s="238">
        <f ca="1">ROUND(C21*F27,4)</f>
        <v>2E-3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237445841</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751589131</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664189355</v>
      </c>
      <c r="D34" s="217"/>
      <c r="E34" s="220"/>
      <c r="F34" s="257"/>
      <c r="G34" s="219"/>
    </row>
    <row r="35" spans="1:7" ht="13.5" customHeight="1">
      <c r="A35" s="780" t="s">
        <v>351</v>
      </c>
      <c r="B35" s="215" t="s">
        <v>1524</v>
      </c>
      <c r="C35" s="220">
        <f ca="1">ROUND(C34*F35,0)</f>
        <v>19925681</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54190308</v>
      </c>
      <c r="D37" s="217">
        <f ca="1">D19</f>
        <v>270951.53999999998</v>
      </c>
      <c r="E37" s="249">
        <f>'数据-取费表'!B35</f>
        <v>200</v>
      </c>
      <c r="F37" s="259"/>
      <c r="G37" s="261"/>
    </row>
    <row r="38" spans="1:7" ht="13.5" customHeight="1">
      <c r="A38" s="780" t="s">
        <v>354</v>
      </c>
      <c r="B38" s="215" t="s">
        <v>1530</v>
      </c>
      <c r="C38" s="220">
        <f ca="1">ROUND(C34*F38,0)</f>
        <v>13283787</v>
      </c>
      <c r="D38" s="220"/>
      <c r="E38" s="220"/>
      <c r="F38" s="259">
        <f>'数据-取费表'!B36</f>
        <v>0.02</v>
      </c>
      <c r="G38" s="219" t="s">
        <v>1525</v>
      </c>
    </row>
    <row r="39" spans="1:7" s="214" customFormat="1" ht="13.5" customHeight="1">
      <c r="A39" s="255" t="s">
        <v>1531</v>
      </c>
      <c r="B39" s="210" t="s">
        <v>1532</v>
      </c>
      <c r="C39" s="232">
        <f ca="1">ROUND(C33*F20,0)</f>
        <v>15031783</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25681801</v>
      </c>
      <c r="D41" s="235">
        <f ca="1">C44</f>
        <v>6.9999999999999999E-4</v>
      </c>
      <c r="E41" s="236" t="s">
        <v>1536</v>
      </c>
      <c r="F41" s="237">
        <f ca="1">F22</f>
        <v>3.3500000000000002E-2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25178236</v>
      </c>
      <c r="D42" s="238"/>
      <c r="E42" s="238"/>
      <c r="F42" s="239"/>
      <c r="G42" s="3718" t="s">
        <v>1588</v>
      </c>
    </row>
    <row r="43" spans="1:7" ht="13.5" customHeight="1">
      <c r="A43" s="780" t="s">
        <v>347</v>
      </c>
      <c r="B43" s="215" t="s">
        <v>1542</v>
      </c>
      <c r="C43" s="238">
        <f ca="1">ROUND(IF('数据-取费表'!B22&lt;=1,C39*F22*'数据-取费表'!B20/2,C39*(POWER((1+F22),'数据-取费表'!B20/2)-1)),0)</f>
        <v>503565</v>
      </c>
      <c r="D43" s="238"/>
      <c r="E43" s="238"/>
      <c r="F43" s="239"/>
      <c r="G43" s="3719"/>
    </row>
    <row r="44" spans="1:7" ht="13.5" customHeight="1">
      <c r="A44" s="780" t="s">
        <v>348</v>
      </c>
      <c r="B44" s="215" t="s">
        <v>1543</v>
      </c>
      <c r="C44" s="238">
        <f ca="1">ROUND(IF('数据-取费表'!B22&lt;=1,C40*F22*'数据-取费表'!B20/2,C40*(POWER((1+F22),'数据-取费表'!B20/2)-1)),4)</f>
        <v>6.9999999999999999E-4</v>
      </c>
      <c r="D44" s="238"/>
      <c r="E44" s="238"/>
      <c r="F44" s="239"/>
      <c r="G44" s="3720"/>
    </row>
    <row r="45" spans="1:7" s="214" customFormat="1" ht="13.5" customHeight="1">
      <c r="A45" s="255" t="s">
        <v>1544</v>
      </c>
      <c r="B45" s="244" t="s">
        <v>1510</v>
      </c>
      <c r="C45" s="245">
        <f ca="1">C46</f>
        <v>76662091</v>
      </c>
      <c r="D45" s="235">
        <f ca="1">C47</f>
        <v>2E-3</v>
      </c>
      <c r="E45" s="236" t="s">
        <v>1536</v>
      </c>
      <c r="F45" s="246">
        <f ca="1">F27</f>
        <v>0.1</v>
      </c>
      <c r="G45" s="247" t="s">
        <v>1545</v>
      </c>
    </row>
    <row r="46" spans="1:7" s="214" customFormat="1" ht="13.5" customHeight="1">
      <c r="A46" s="780" t="s">
        <v>346</v>
      </c>
      <c r="B46" s="248" t="s">
        <v>1546</v>
      </c>
      <c r="C46" s="249">
        <f ca="1">ROUND((C33+C39)*F27,0)</f>
        <v>76662091</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940438102</v>
      </c>
      <c r="D49" s="232"/>
      <c r="E49" s="232"/>
      <c r="F49" s="264"/>
      <c r="G49" s="234" t="s">
        <v>1551</v>
      </c>
    </row>
    <row r="50" spans="1:7" s="258" customFormat="1">
      <c r="A50" s="255" t="s">
        <v>1552</v>
      </c>
      <c r="B50" s="210" t="s">
        <v>1553</v>
      </c>
      <c r="C50" s="232"/>
      <c r="D50" s="232"/>
      <c r="E50" s="232"/>
      <c r="F50" s="264">
        <f>IF('数据-取费表'!B24=0,'数据-取费表'!N16,1)</f>
        <v>0.98</v>
      </c>
      <c r="G50" s="247"/>
    </row>
    <row r="51" spans="1:7" ht="16.5" customHeight="1">
      <c r="A51" s="255" t="s">
        <v>1555</v>
      </c>
      <c r="B51" s="210" t="s">
        <v>1590</v>
      </c>
      <c r="C51" s="232">
        <f ca="1">ROUND(C49*F50,0)</f>
        <v>921629340</v>
      </c>
      <c r="D51" s="232"/>
      <c r="E51" s="232"/>
      <c r="F51" s="264"/>
      <c r="G51" s="234" t="s">
        <v>1557</v>
      </c>
    </row>
    <row r="52" spans="1:7" s="208" customFormat="1" ht="16.5" thickBot="1">
      <c r="A52" s="265" t="s">
        <v>1558</v>
      </c>
      <c r="B52" s="266"/>
      <c r="C52" s="267">
        <f ca="1">C31+C51</f>
        <v>1159075181</v>
      </c>
      <c r="D52" s="266"/>
      <c r="E52" s="266"/>
      <c r="F52" s="266"/>
      <c r="G52" s="268"/>
    </row>
    <row r="55" spans="1:7" ht="15">
      <c r="B55" s="270" t="s">
        <v>1559</v>
      </c>
      <c r="C55" s="271"/>
    </row>
    <row r="56" spans="1:7">
      <c r="B56" s="273" t="s">
        <v>802</v>
      </c>
      <c r="C56" s="275">
        <f ca="1">1-C57</f>
        <v>0.20499999999999996</v>
      </c>
    </row>
    <row r="57" spans="1:7">
      <c r="B57" s="273" t="s">
        <v>803</v>
      </c>
      <c r="C57" s="274">
        <f ca="1">ROUND(C51/C52,3)</f>
        <v>0.79500000000000004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0"/>
      <c r="C1" s="1191"/>
      <c r="D1" s="1189"/>
      <c r="E1" s="2802"/>
      <c r="F1" s="2802"/>
      <c r="G1" s="2667"/>
      <c r="H1" s="2802"/>
      <c r="I1" s="2802"/>
      <c r="J1" s="2802"/>
      <c r="K1" s="2803">
        <f>MATCH(C1,'数据-取费表'!A6:A16,0)+5</f>
        <v>7</v>
      </c>
    </row>
    <row r="2" spans="1:33" ht="18" customHeight="1">
      <c r="A2" s="201" t="s">
        <v>1459</v>
      </c>
      <c r="B2" s="204">
        <f ca="1">C32</f>
        <v>-14182</v>
      </c>
      <c r="C2" s="276" t="s">
        <v>1592</v>
      </c>
      <c r="D2" s="276"/>
      <c r="E2" s="2802"/>
      <c r="F2" s="2802"/>
      <c r="G2" s="2802"/>
      <c r="H2" s="2802"/>
      <c r="I2" s="2802"/>
      <c r="J2" s="2802"/>
      <c r="K2" s="2802"/>
    </row>
    <row r="3" spans="1:33" ht="18" customHeight="1" thickBot="1">
      <c r="A3" s="203" t="s">
        <v>1461</v>
      </c>
      <c r="B3" s="204">
        <f ca="1">ROUND(B2*10000/IF(C1="",'数据-汇总表'!E3,INDIRECT("'数据-取费表'!K"&amp;$K$1)),0)</f>
        <v>-523</v>
      </c>
      <c r="C3" s="276" t="s">
        <v>1593</v>
      </c>
      <c r="D3" s="276"/>
      <c r="E3" s="2802"/>
      <c r="F3" s="2802"/>
      <c r="G3" s="2802"/>
      <c r="H3" s="2802"/>
      <c r="I3" s="2802"/>
      <c r="J3" s="2802"/>
      <c r="K3" s="2802"/>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57"/>
      <c r="D5" s="1857"/>
      <c r="E5" s="1857"/>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270951.53999999998</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270951.53999999998</v>
      </c>
      <c r="E17" s="21">
        <f>'数据-取费表'!B32</f>
        <v>0</v>
      </c>
      <c r="F17" s="806"/>
      <c r="G17" s="131" t="s">
        <v>1620</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13006</v>
      </c>
      <c r="D18" s="846"/>
      <c r="E18" s="21"/>
      <c r="F18" s="804"/>
      <c r="G18" s="1859"/>
      <c r="H18" s="1186"/>
      <c r="I18" s="1860"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412</v>
      </c>
      <c r="F19" s="804"/>
      <c r="G19" s="12"/>
      <c r="H19" s="1188"/>
      <c r="I19" s="809"/>
      <c r="J19" s="809"/>
      <c r="K19" s="810"/>
    </row>
    <row r="20" spans="1:33" s="803" customFormat="1" ht="13.5" customHeight="1">
      <c r="A20" s="800" t="s">
        <v>361</v>
      </c>
      <c r="B20" s="801" t="s">
        <v>1624</v>
      </c>
      <c r="C20" s="21">
        <f ca="1">ROUND(D20*E20/10000,0)</f>
        <v>13006</v>
      </c>
      <c r="D20" s="846">
        <f ca="1">IF(C1="",'数据-汇总表'!E6,IF(INDIRECT("'数据-取费表'!c"&amp;$K$1)="住宅",INDIRECT("'数据-取费表'!s"&amp;$K$1),INDIRECT("'数据-取费表'!k"&amp;$K$1)+INDIRECT("'数据-取费表'!s"&amp;$K$1)))</f>
        <v>270951.53999999998</v>
      </c>
      <c r="E20" s="21">
        <f>'数据-取费表'!B28</f>
        <v>480</v>
      </c>
      <c r="F20" s="804"/>
      <c r="G20" s="12"/>
      <c r="H20" s="809"/>
      <c r="I20" s="809"/>
      <c r="J20" s="809"/>
      <c r="K20" s="810"/>
    </row>
    <row r="21" spans="1:33" s="803" customFormat="1" ht="13.5" customHeight="1">
      <c r="A21" s="790" t="s">
        <v>357</v>
      </c>
      <c r="B21" s="813" t="s">
        <v>1625</v>
      </c>
      <c r="C21" s="814">
        <f ca="1">C16+C17+C18</f>
        <v>13006</v>
      </c>
      <c r="D21" s="815"/>
      <c r="E21" s="281"/>
      <c r="F21" s="281"/>
      <c r="G21" s="131" t="s">
        <v>1626</v>
      </c>
      <c r="H21" s="807"/>
      <c r="I21" s="807"/>
      <c r="J21" s="807"/>
      <c r="K21" s="808"/>
    </row>
    <row r="22" spans="1:33" s="803" customFormat="1" ht="13.5" customHeight="1">
      <c r="A22" s="790" t="s">
        <v>1598</v>
      </c>
      <c r="B22" s="813" t="s">
        <v>1627</v>
      </c>
      <c r="C22" s="814">
        <f ca="1">ROUND(C21*F22,0)</f>
        <v>260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7"/>
      <c r="I27" s="807"/>
      <c r="J27" s="807"/>
      <c r="K27" s="808"/>
    </row>
    <row r="28" spans="1:33" s="289" customFormat="1" ht="13.5" customHeight="1">
      <c r="A28" s="790" t="s">
        <v>1638</v>
      </c>
      <c r="B28" s="1862" t="s">
        <v>1639</v>
      </c>
      <c r="C28" s="287">
        <f ca="1">C30</f>
        <v>1327</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1327</v>
      </c>
      <c r="D30" s="284"/>
      <c r="E30" s="285"/>
      <c r="F30" s="290"/>
      <c r="G30" s="131"/>
      <c r="H30" s="807"/>
      <c r="I30" s="807"/>
      <c r="J30" s="807"/>
      <c r="K30" s="808"/>
    </row>
    <row r="31" spans="1:33" s="803" customFormat="1" ht="13.5" customHeight="1" thickBot="1">
      <c r="A31" s="1863"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-14182</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1766</v>
      </c>
      <c r="B4" s="356"/>
      <c r="C4" s="3725" t="s">
        <v>1767</v>
      </c>
      <c r="D4" s="3737"/>
      <c r="E4" s="3738" t="s">
        <v>1768</v>
      </c>
      <c r="F4" s="3739"/>
      <c r="G4" s="3725" t="s">
        <v>1769</v>
      </c>
      <c r="H4" s="3737"/>
      <c r="I4" s="3725" t="s">
        <v>1770</v>
      </c>
      <c r="J4" s="3737"/>
      <c r="K4" s="559" t="s">
        <v>1771</v>
      </c>
      <c r="L4" s="2711"/>
      <c r="M4" s="2712"/>
      <c r="N4" s="2712"/>
      <c r="O4" s="2712"/>
      <c r="P4" s="3740" t="s">
        <v>1772</v>
      </c>
      <c r="Q4" s="3741"/>
      <c r="R4" s="3746" t="s">
        <v>1768</v>
      </c>
      <c r="S4" s="3747"/>
      <c r="T4" s="3746" t="s">
        <v>1769</v>
      </c>
      <c r="U4" s="3747"/>
      <c r="V4" s="3733" t="s">
        <v>1770</v>
      </c>
      <c r="W4" s="3733"/>
      <c r="X4" s="1353"/>
      <c r="Y4" s="3746" t="s">
        <v>1772</v>
      </c>
      <c r="Z4" s="3747"/>
      <c r="AA4" s="3734" t="s">
        <v>1768</v>
      </c>
      <c r="AB4" s="3735" t="s">
        <v>1769</v>
      </c>
      <c r="AC4" s="3734" t="s">
        <v>1770</v>
      </c>
    </row>
    <row r="5" spans="1:30" ht="15">
      <c r="A5" s="358"/>
      <c r="B5" s="359"/>
      <c r="C5" s="3754" t="s">
        <v>1670</v>
      </c>
      <c r="D5" s="3755"/>
      <c r="E5" s="3761" t="s">
        <v>1671</v>
      </c>
      <c r="F5" s="3762"/>
      <c r="G5" s="3754" t="s">
        <v>1672</v>
      </c>
      <c r="H5" s="3755"/>
      <c r="I5" s="3754" t="s">
        <v>1673</v>
      </c>
      <c r="J5" s="3755"/>
      <c r="K5" s="559"/>
      <c r="L5" s="2711"/>
      <c r="M5" s="2712"/>
      <c r="N5" s="2712"/>
      <c r="O5" s="2712"/>
      <c r="P5" s="3742"/>
      <c r="Q5" s="3743"/>
      <c r="R5" s="3748"/>
      <c r="S5" s="3749"/>
      <c r="T5" s="3748"/>
      <c r="U5" s="3749"/>
      <c r="V5" s="3733"/>
      <c r="W5" s="3733"/>
      <c r="X5" s="1353"/>
      <c r="Y5" s="3748"/>
      <c r="Z5" s="3749"/>
      <c r="AA5" s="3735"/>
      <c r="AB5" s="3735"/>
      <c r="AC5" s="3735"/>
    </row>
    <row r="6" spans="1:30" ht="15.75" thickBot="1">
      <c r="A6" s="360"/>
      <c r="B6" s="361"/>
      <c r="C6" s="3752" t="s">
        <v>1674</v>
      </c>
      <c r="D6" s="3753"/>
      <c r="E6" s="3759" t="s">
        <v>1674</v>
      </c>
      <c r="F6" s="3760"/>
      <c r="G6" s="3752" t="s">
        <v>1674</v>
      </c>
      <c r="H6" s="3753"/>
      <c r="I6" s="3752" t="s">
        <v>1674</v>
      </c>
      <c r="J6" s="3753"/>
      <c r="K6" s="559" t="s">
        <v>1675</v>
      </c>
      <c r="L6" s="2711"/>
      <c r="M6" s="2712"/>
      <c r="N6" s="2712"/>
      <c r="O6" s="2712"/>
      <c r="P6" s="3744"/>
      <c r="Q6" s="3745"/>
      <c r="R6" s="3748"/>
      <c r="S6" s="3749"/>
      <c r="T6" s="3750"/>
      <c r="U6" s="3751"/>
      <c r="V6" s="3733"/>
      <c r="W6" s="3733"/>
      <c r="X6" s="1353"/>
      <c r="Y6" s="3750"/>
      <c r="Z6" s="3751"/>
      <c r="AA6" s="3736"/>
      <c r="AB6" s="3736"/>
      <c r="AC6" s="3736"/>
    </row>
    <row r="7" spans="1:30" s="108" customFormat="1" ht="15.75" thickBot="1">
      <c r="A7" s="362" t="s">
        <v>1676</v>
      </c>
      <c r="B7" s="363"/>
      <c r="C7" s="364">
        <f>'数据-取费表'!B2</f>
        <v>45540</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56" t="s">
        <v>1677</v>
      </c>
      <c r="Q7" s="3758"/>
      <c r="R7" s="701" t="s">
        <v>14</v>
      </c>
      <c r="S7" s="702">
        <f t="shared" ref="S7:S15" si="0">F7</f>
        <v>0</v>
      </c>
      <c r="T7" s="701" t="s">
        <v>14</v>
      </c>
      <c r="U7" s="702">
        <f t="shared" ref="U7:U15" si="1">H7</f>
        <v>0</v>
      </c>
      <c r="V7" s="701" t="s">
        <v>14</v>
      </c>
      <c r="W7" s="702">
        <f t="shared" ref="W7:W15" si="2">J7</f>
        <v>0</v>
      </c>
      <c r="X7" s="703"/>
      <c r="Y7" s="3756" t="s">
        <v>1677</v>
      </c>
      <c r="Z7" s="3757"/>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6" t="s">
        <v>1680</v>
      </c>
      <c r="Q8" s="3757"/>
      <c r="R8" s="701" t="s">
        <v>14</v>
      </c>
      <c r="S8" s="702">
        <f t="shared" si="0"/>
        <v>0</v>
      </c>
      <c r="T8" s="701" t="s">
        <v>14</v>
      </c>
      <c r="U8" s="702">
        <f t="shared" si="1"/>
        <v>0</v>
      </c>
      <c r="V8" s="701" t="s">
        <v>14</v>
      </c>
      <c r="W8" s="702">
        <f t="shared" si="2"/>
        <v>0</v>
      </c>
      <c r="X8" s="703"/>
      <c r="Y8" s="3756" t="s">
        <v>1680</v>
      </c>
      <c r="Z8" s="3757"/>
      <c r="AA8" s="704" t="e">
        <f t="shared" ref="AA8:AA45" si="3">D8/F8</f>
        <v>#DIV/0!</v>
      </c>
      <c r="AB8" s="704" t="e">
        <f t="shared" ref="AB8:AB45" si="4">D8/H8</f>
        <v>#DIV/0!</v>
      </c>
      <c r="AC8" s="704" t="e">
        <f t="shared" ref="AC8:AC45" si="5">D8/J8</f>
        <v>#DIV/0!</v>
      </c>
    </row>
    <row r="9" spans="1:30" s="108" customFormat="1">
      <c r="A9" s="369" t="s">
        <v>1681</v>
      </c>
      <c r="B9" s="63" t="s">
        <v>1682</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28" t="s">
        <v>1683</v>
      </c>
      <c r="Q9" s="1341"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102</v>
      </c>
      <c r="G10" s="414"/>
      <c r="H10" s="127">
        <f>ROUND(100/'数据-取费表'!G16,0)</f>
        <v>102</v>
      </c>
      <c r="I10" s="414"/>
      <c r="J10" s="127">
        <f>ROUND(100/'数据-取费表'!G16,0)</f>
        <v>102</v>
      </c>
      <c r="K10" s="620"/>
      <c r="L10" s="2715"/>
      <c r="M10" s="2716"/>
      <c r="N10" s="2716"/>
      <c r="O10" s="2769"/>
      <c r="P10" s="3728"/>
      <c r="Q10" s="1341" t="str">
        <f t="shared" si="6"/>
        <v>土地使用年限（年）</v>
      </c>
      <c r="R10" s="701" t="s">
        <v>14</v>
      </c>
      <c r="S10" s="702">
        <f t="shared" si="0"/>
        <v>102</v>
      </c>
      <c r="T10" s="701" t="s">
        <v>14</v>
      </c>
      <c r="U10" s="702">
        <f t="shared" si="1"/>
        <v>102</v>
      </c>
      <c r="V10" s="701" t="s">
        <v>14</v>
      </c>
      <c r="W10" s="702">
        <f t="shared" si="2"/>
        <v>102</v>
      </c>
      <c r="X10" s="703"/>
      <c r="Y10" s="3625"/>
      <c r="Z10" s="52" t="str">
        <f t="shared" si="7"/>
        <v>土地使用年限（年）</v>
      </c>
      <c r="AA10" s="704">
        <f t="shared" si="3"/>
        <v>0.98039215686274506</v>
      </c>
      <c r="AB10" s="704">
        <f t="shared" si="4"/>
        <v>0.98039215686274506</v>
      </c>
      <c r="AC10" s="704">
        <f t="shared" si="5"/>
        <v>0.98039215686274506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28"/>
      <c r="Q11" s="1341"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0" t="s">
        <v>1867</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28"/>
      <c r="Q12" s="1341"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28"/>
      <c r="Q13" s="1341">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28"/>
      <c r="Q14" s="1341">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1687</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9" t="s">
        <v>1688</v>
      </c>
      <c r="Q15" s="1350" t="str">
        <f t="shared" si="6"/>
        <v>居住社区成熟度</v>
      </c>
      <c r="R15" s="705" t="s">
        <v>14</v>
      </c>
      <c r="S15" s="706">
        <f t="shared" si="0"/>
        <v>100</v>
      </c>
      <c r="T15" s="705" t="s">
        <v>14</v>
      </c>
      <c r="U15" s="706">
        <f t="shared" si="1"/>
        <v>100</v>
      </c>
      <c r="V15" s="705" t="s">
        <v>14</v>
      </c>
      <c r="W15" s="706">
        <f t="shared" si="2"/>
        <v>100</v>
      </c>
      <c r="X15" s="1353"/>
      <c r="Y15" s="3729" t="s">
        <v>1688</v>
      </c>
      <c r="Z15" s="1354" t="str">
        <f t="shared" si="7"/>
        <v>居住社区成熟度</v>
      </c>
      <c r="AA15" s="1351">
        <f t="shared" si="3"/>
        <v>1</v>
      </c>
      <c r="AB15" s="1351">
        <f t="shared" si="4"/>
        <v>1</v>
      </c>
      <c r="AC15" s="1351">
        <f t="shared" si="5"/>
        <v>1</v>
      </c>
    </row>
    <row r="16" spans="1:30" ht="15">
      <c r="A16" s="379"/>
      <c r="B16" s="397"/>
      <c r="C16" s="398"/>
      <c r="D16" s="399"/>
      <c r="E16" s="1895"/>
      <c r="F16" s="399"/>
      <c r="G16" s="1895"/>
      <c r="H16" s="401"/>
      <c r="I16" s="1894"/>
      <c r="J16" s="399"/>
      <c r="K16" s="620"/>
      <c r="L16" s="2718"/>
      <c r="M16" s="2712"/>
      <c r="N16" s="2712"/>
      <c r="O16" s="2770"/>
      <c r="P16" s="3730"/>
      <c r="Q16" s="1350"/>
      <c r="R16" s="705"/>
      <c r="S16" s="706"/>
      <c r="T16" s="705"/>
      <c r="U16" s="706"/>
      <c r="V16" s="705"/>
      <c r="W16" s="706"/>
      <c r="X16" s="1353"/>
      <c r="Y16" s="3730"/>
      <c r="Z16" s="1354"/>
      <c r="AA16" s="1351">
        <v>1</v>
      </c>
      <c r="AB16" s="1351">
        <v>1</v>
      </c>
      <c r="AC16" s="1351">
        <v>1</v>
      </c>
    </row>
    <row r="17" spans="1:29" ht="71.25">
      <c r="A17" s="379"/>
      <c r="B17" s="402" t="s">
        <v>1774</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0"/>
      <c r="Q17" s="1350" t="str">
        <f>B17</f>
        <v>商业繁华度</v>
      </c>
      <c r="R17" s="705" t="s">
        <v>14</v>
      </c>
      <c r="S17" s="706">
        <f>F17</f>
        <v>100</v>
      </c>
      <c r="T17" s="705" t="s">
        <v>14</v>
      </c>
      <c r="U17" s="706">
        <f>H17</f>
        <v>100</v>
      </c>
      <c r="V17" s="705" t="s">
        <v>14</v>
      </c>
      <c r="W17" s="706">
        <f>J17</f>
        <v>100</v>
      </c>
      <c r="X17" s="1353"/>
      <c r="Y17" s="3730"/>
      <c r="Z17" s="1354" t="str">
        <f>Q17</f>
        <v>商业繁华度</v>
      </c>
      <c r="AA17" s="1351">
        <f t="shared" si="3"/>
        <v>1</v>
      </c>
      <c r="AB17" s="1351">
        <f t="shared" si="4"/>
        <v>1</v>
      </c>
      <c r="AC17" s="1351">
        <f t="shared" si="5"/>
        <v>1</v>
      </c>
    </row>
    <row r="18" spans="1:29" ht="15">
      <c r="A18" s="379"/>
      <c r="B18" s="407"/>
      <c r="C18" s="1898"/>
      <c r="D18" s="401"/>
      <c r="E18" s="1900"/>
      <c r="F18" s="401"/>
      <c r="G18" s="1900"/>
      <c r="H18" s="399"/>
      <c r="I18" s="1899"/>
      <c r="J18" s="399"/>
      <c r="K18" s="620"/>
      <c r="L18" s="2718"/>
      <c r="M18" s="2712"/>
      <c r="N18" s="2712"/>
      <c r="O18" s="2770"/>
      <c r="P18" s="3730"/>
      <c r="Q18" s="1350"/>
      <c r="R18" s="705"/>
      <c r="S18" s="706"/>
      <c r="T18" s="705"/>
      <c r="U18" s="706"/>
      <c r="V18" s="705"/>
      <c r="W18" s="706"/>
      <c r="X18" s="1353"/>
      <c r="Y18" s="3730"/>
      <c r="Z18" s="1354"/>
      <c r="AA18" s="1351">
        <v>1</v>
      </c>
      <c r="AB18" s="1351">
        <v>1</v>
      </c>
      <c r="AC18" s="1351">
        <v>1</v>
      </c>
    </row>
    <row r="19" spans="1:29" ht="71.25">
      <c r="A19" s="379"/>
      <c r="B19" s="402" t="s">
        <v>1808</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0"/>
      <c r="Q19" s="1350" t="str">
        <f>B19</f>
        <v>办公集聚程度</v>
      </c>
      <c r="R19" s="705" t="s">
        <v>14</v>
      </c>
      <c r="S19" s="706">
        <f>F19</f>
        <v>100</v>
      </c>
      <c r="T19" s="705" t="s">
        <v>14</v>
      </c>
      <c r="U19" s="706">
        <f>H19</f>
        <v>100</v>
      </c>
      <c r="V19" s="705" t="s">
        <v>14</v>
      </c>
      <c r="W19" s="706">
        <f>J19</f>
        <v>100</v>
      </c>
      <c r="X19" s="1353"/>
      <c r="Y19" s="3730"/>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20"/>
      <c r="L20" s="2718"/>
      <c r="M20" s="2712"/>
      <c r="N20" s="2712"/>
      <c r="O20" s="2770"/>
      <c r="P20" s="3730"/>
      <c r="Q20" s="1350"/>
      <c r="R20" s="705"/>
      <c r="S20" s="706"/>
      <c r="T20" s="705"/>
      <c r="U20" s="706"/>
      <c r="V20" s="705"/>
      <c r="W20" s="706"/>
      <c r="X20" s="1353"/>
      <c r="Y20" s="3730"/>
      <c r="Z20" s="1354"/>
      <c r="AA20" s="1351">
        <v>1</v>
      </c>
      <c r="AB20" s="1351">
        <v>1</v>
      </c>
      <c r="AC20" s="1351">
        <v>1</v>
      </c>
    </row>
    <row r="21" spans="1:29" ht="85.5">
      <c r="A21" s="379"/>
      <c r="B21" s="402" t="s">
        <v>1830</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0"/>
      <c r="Q21" s="1350" t="str">
        <f>B21</f>
        <v>交通便捷度</v>
      </c>
      <c r="R21" s="705" t="s">
        <v>14</v>
      </c>
      <c r="S21" s="706">
        <f>F21</f>
        <v>100</v>
      </c>
      <c r="T21" s="705" t="s">
        <v>14</v>
      </c>
      <c r="U21" s="706">
        <f>H21</f>
        <v>100</v>
      </c>
      <c r="V21" s="705" t="s">
        <v>14</v>
      </c>
      <c r="W21" s="706">
        <f>J21</f>
        <v>100</v>
      </c>
      <c r="X21" s="1353"/>
      <c r="Y21" s="3730"/>
      <c r="Z21" s="1354" t="str">
        <f>Q21</f>
        <v>交通便捷度</v>
      </c>
      <c r="AA21" s="1351">
        <f t="shared" si="3"/>
        <v>1</v>
      </c>
      <c r="AB21" s="1351">
        <f t="shared" si="4"/>
        <v>1</v>
      </c>
      <c r="AC21" s="1351">
        <f t="shared" si="5"/>
        <v>1</v>
      </c>
    </row>
    <row r="22" spans="1:29" ht="15">
      <c r="A22" s="379"/>
      <c r="B22" s="1131"/>
      <c r="C22" s="398"/>
      <c r="D22" s="401"/>
      <c r="E22" s="1895"/>
      <c r="F22" s="399"/>
      <c r="G22" s="1895"/>
      <c r="H22" s="399"/>
      <c r="I22" s="1894"/>
      <c r="J22" s="399"/>
      <c r="K22" s="620"/>
      <c r="L22" s="2718"/>
      <c r="M22" s="2712"/>
      <c r="N22" s="2712"/>
      <c r="O22" s="2770"/>
      <c r="P22" s="3730"/>
      <c r="Q22" s="1350"/>
      <c r="R22" s="705"/>
      <c r="S22" s="706"/>
      <c r="T22" s="705"/>
      <c r="U22" s="706"/>
      <c r="V22" s="705"/>
      <c r="W22" s="706"/>
      <c r="X22" s="1353"/>
      <c r="Y22" s="3730"/>
      <c r="Z22" s="1354"/>
      <c r="AA22" s="1351">
        <v>1</v>
      </c>
      <c r="AB22" s="1351">
        <v>1</v>
      </c>
      <c r="AC22" s="1351">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0"/>
      <c r="Q23" s="1350" t="str">
        <f t="shared" ref="Q23:Q37" si="8">B23</f>
        <v>区域土地利用方向</v>
      </c>
      <c r="R23" s="705" t="s">
        <v>14</v>
      </c>
      <c r="S23" s="706">
        <f>F23</f>
        <v>100</v>
      </c>
      <c r="T23" s="705" t="s">
        <v>14</v>
      </c>
      <c r="U23" s="706">
        <f>H23</f>
        <v>100</v>
      </c>
      <c r="V23" s="705" t="s">
        <v>14</v>
      </c>
      <c r="W23" s="706">
        <f>J23</f>
        <v>100</v>
      </c>
      <c r="X23" s="1353"/>
      <c r="Y23" s="3730"/>
      <c r="Z23" s="1354" t="str">
        <f>Q23</f>
        <v>区域土地利用方向</v>
      </c>
      <c r="AA23" s="1351">
        <f t="shared" si="3"/>
        <v>1</v>
      </c>
      <c r="AB23" s="1351">
        <f t="shared" si="4"/>
        <v>1</v>
      </c>
      <c r="AC23" s="1351">
        <f t="shared" si="5"/>
        <v>1</v>
      </c>
    </row>
    <row r="24" spans="1:29" ht="15">
      <c r="A24" s="358"/>
      <c r="B24" s="407"/>
      <c r="C24" s="565"/>
      <c r="D24" s="399"/>
      <c r="E24" s="1895"/>
      <c r="F24" s="399"/>
      <c r="G24" s="1894"/>
      <c r="H24" s="399"/>
      <c r="I24" s="1894"/>
      <c r="J24" s="399"/>
      <c r="K24" s="740"/>
      <c r="L24" s="2718"/>
      <c r="M24" s="2712"/>
      <c r="N24" s="2712"/>
      <c r="O24" s="2770"/>
      <c r="P24" s="3730"/>
      <c r="Q24" s="1350"/>
      <c r="R24" s="705"/>
      <c r="S24" s="706"/>
      <c r="T24" s="705"/>
      <c r="U24" s="706"/>
      <c r="V24" s="705"/>
      <c r="W24" s="706"/>
      <c r="X24" s="1353"/>
      <c r="Y24" s="3730"/>
      <c r="Z24" s="1354"/>
      <c r="AA24" s="1351"/>
      <c r="AB24" s="1351"/>
      <c r="AC24" s="1351"/>
    </row>
    <row r="25" spans="1:29" ht="57">
      <c r="A25" s="358"/>
      <c r="B25" s="1131" t="s">
        <v>1869</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0"/>
      <c r="Q25" s="1350" t="str">
        <f t="shared" si="8"/>
        <v>自然及人文环境状况</v>
      </c>
      <c r="R25" s="705" t="s">
        <v>14</v>
      </c>
      <c r="S25" s="706">
        <f>F25</f>
        <v>100</v>
      </c>
      <c r="T25" s="705" t="s">
        <v>14</v>
      </c>
      <c r="U25" s="706">
        <f>H25</f>
        <v>100</v>
      </c>
      <c r="V25" s="705" t="s">
        <v>14</v>
      </c>
      <c r="W25" s="706">
        <f>J25</f>
        <v>100</v>
      </c>
      <c r="X25" s="1353"/>
      <c r="Y25" s="3730"/>
      <c r="Z25" s="1354" t="str">
        <f>Q25</f>
        <v>自然及人文环境状况</v>
      </c>
      <c r="AA25" s="1351">
        <f t="shared" si="3"/>
        <v>1</v>
      </c>
      <c r="AB25" s="1351">
        <f t="shared" si="4"/>
        <v>1</v>
      </c>
      <c r="AC25" s="1351">
        <f t="shared" si="5"/>
        <v>1</v>
      </c>
    </row>
    <row r="26" spans="1:29" ht="15">
      <c r="A26" s="358"/>
      <c r="B26" s="407"/>
      <c r="C26" s="398"/>
      <c r="D26" s="399"/>
      <c r="E26" s="1901"/>
      <c r="F26" s="399"/>
      <c r="G26" s="1901"/>
      <c r="H26" s="399"/>
      <c r="I26" s="398"/>
      <c r="J26" s="399"/>
      <c r="K26" s="620"/>
      <c r="L26" s="2718"/>
      <c r="M26" s="2712"/>
      <c r="N26" s="2712"/>
      <c r="O26" s="2770"/>
      <c r="P26" s="3730"/>
      <c r="Q26" s="1350"/>
      <c r="R26" s="705"/>
      <c r="S26" s="706"/>
      <c r="T26" s="705"/>
      <c r="U26" s="706"/>
      <c r="V26" s="705"/>
      <c r="W26" s="706"/>
      <c r="X26" s="1353"/>
      <c r="Y26" s="3730"/>
      <c r="Z26" s="1354"/>
      <c r="AA26" s="1351">
        <v>1</v>
      </c>
      <c r="AB26" s="1351">
        <v>1</v>
      </c>
      <c r="AC26" s="1351">
        <v>1</v>
      </c>
    </row>
    <row r="27" spans="1:29" s="108" customFormat="1" ht="42.75">
      <c r="A27" s="597"/>
      <c r="B27" s="1131" t="s">
        <v>1775</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0"/>
      <c r="Q27" s="1341" t="str">
        <f t="shared" si="8"/>
        <v>公共配套设施</v>
      </c>
      <c r="R27" s="701" t="s">
        <v>14</v>
      </c>
      <c r="S27" s="702">
        <f>F27</f>
        <v>100</v>
      </c>
      <c r="T27" s="701" t="s">
        <v>14</v>
      </c>
      <c r="U27" s="702">
        <f>H27</f>
        <v>100</v>
      </c>
      <c r="V27" s="701" t="s">
        <v>14</v>
      </c>
      <c r="W27" s="702">
        <f>J27</f>
        <v>100</v>
      </c>
      <c r="X27" s="703"/>
      <c r="Y27" s="3730"/>
      <c r="Z27" s="52" t="str">
        <f>Q27</f>
        <v>公共配套设施</v>
      </c>
      <c r="AA27" s="1351">
        <f>D27/F27</f>
        <v>1</v>
      </c>
      <c r="AB27" s="1351">
        <f>D27/H27</f>
        <v>1</v>
      </c>
      <c r="AC27" s="1351">
        <f>D27/J27</f>
        <v>1</v>
      </c>
    </row>
    <row r="28" spans="1:29" s="108" customFormat="1" ht="15">
      <c r="A28" s="597"/>
      <c r="B28" s="407"/>
      <c r="C28" s="1975"/>
      <c r="D28" s="399"/>
      <c r="E28" s="1901"/>
      <c r="F28" s="399"/>
      <c r="G28" s="1901"/>
      <c r="H28" s="399"/>
      <c r="I28" s="398"/>
      <c r="J28" s="399"/>
      <c r="K28" s="620"/>
      <c r="L28" s="2713"/>
      <c r="M28" s="2714"/>
      <c r="N28" s="2714"/>
      <c r="O28" s="2768"/>
      <c r="P28" s="3730"/>
      <c r="Q28" s="1341"/>
      <c r="R28" s="701"/>
      <c r="S28" s="702"/>
      <c r="T28" s="701"/>
      <c r="U28" s="702"/>
      <c r="V28" s="701"/>
      <c r="W28" s="702"/>
      <c r="X28" s="703"/>
      <c r="Y28" s="3730"/>
      <c r="Z28" s="52"/>
      <c r="AA28" s="1351">
        <v>1</v>
      </c>
      <c r="AB28" s="1351">
        <v>1</v>
      </c>
      <c r="AC28" s="1351">
        <v>1</v>
      </c>
    </row>
    <row r="29" spans="1:29" s="108" customFormat="1" ht="28.5">
      <c r="A29" s="597"/>
      <c r="B29" s="1131" t="s">
        <v>1776</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0"/>
      <c r="Q29" s="1341"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1">
        <f>D29/F29</f>
        <v>1</v>
      </c>
      <c r="AB29" s="1351">
        <f>D29/H29</f>
        <v>1</v>
      </c>
      <c r="AC29" s="1351">
        <f>D29/J29</f>
        <v>1</v>
      </c>
    </row>
    <row r="30" spans="1:29" s="108" customFormat="1" ht="15">
      <c r="A30" s="597"/>
      <c r="B30" s="407"/>
      <c r="C30" s="1975"/>
      <c r="D30" s="399"/>
      <c r="E30" s="1976"/>
      <c r="F30" s="399"/>
      <c r="G30" s="1976"/>
      <c r="H30" s="399"/>
      <c r="I30" s="1976"/>
      <c r="J30" s="399"/>
      <c r="K30" s="620"/>
      <c r="L30" s="2713"/>
      <c r="M30" s="2714"/>
      <c r="N30" s="2714"/>
      <c r="O30" s="2768"/>
      <c r="P30" s="3730"/>
      <c r="Q30" s="1341"/>
      <c r="R30" s="701"/>
      <c r="S30" s="702"/>
      <c r="T30" s="701"/>
      <c r="U30" s="702"/>
      <c r="V30" s="701"/>
      <c r="W30" s="702"/>
      <c r="X30" s="703"/>
      <c r="Y30" s="3730"/>
      <c r="Z30" s="52"/>
      <c r="AA30" s="1351">
        <v>1</v>
      </c>
      <c r="AB30" s="1351">
        <v>1</v>
      </c>
      <c r="AC30" s="1351">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0"/>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30"/>
      <c r="Z31" s="1354" t="str">
        <f t="shared" ref="Z31:Z45" si="13">Q31</f>
        <v>临街状况</v>
      </c>
      <c r="AA31" s="1351">
        <f t="shared" si="3"/>
        <v>1</v>
      </c>
      <c r="AB31" s="1351">
        <f t="shared" si="4"/>
        <v>1</v>
      </c>
      <c r="AC31" s="1351">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0"/>
      <c r="Q32" s="1350" t="str">
        <f t="shared" si="8"/>
        <v>毗邻道路的类型与等级</v>
      </c>
      <c r="R32" s="705" t="s">
        <v>14</v>
      </c>
      <c r="S32" s="706">
        <f t="shared" si="10"/>
        <v>100</v>
      </c>
      <c r="T32" s="705" t="s">
        <v>14</v>
      </c>
      <c r="U32" s="706">
        <f t="shared" si="11"/>
        <v>100</v>
      </c>
      <c r="V32" s="705" t="s">
        <v>14</v>
      </c>
      <c r="W32" s="706">
        <f t="shared" si="12"/>
        <v>100</v>
      </c>
      <c r="X32" s="1353"/>
      <c r="Y32" s="3730"/>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718"/>
      <c r="M33" s="2712"/>
      <c r="N33" s="2712"/>
      <c r="O33" s="2770"/>
      <c r="P33" s="3730"/>
      <c r="Q33" s="1350"/>
      <c r="R33" s="705"/>
      <c r="S33" s="706"/>
      <c r="T33" s="705"/>
      <c r="U33" s="706"/>
      <c r="V33" s="705"/>
      <c r="W33" s="706"/>
      <c r="X33" s="1353"/>
      <c r="Y33" s="3730"/>
      <c r="Z33" s="1354"/>
      <c r="AA33" s="1351">
        <v>1</v>
      </c>
      <c r="AB33" s="1351">
        <v>1</v>
      </c>
      <c r="AC33" s="1351">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0"/>
      <c r="Q34" s="1350" t="str">
        <f t="shared" si="8"/>
        <v>土地级别</v>
      </c>
      <c r="R34" s="705" t="s">
        <v>14</v>
      </c>
      <c r="S34" s="706">
        <f t="shared" si="10"/>
        <v>100</v>
      </c>
      <c r="T34" s="705" t="s">
        <v>14</v>
      </c>
      <c r="U34" s="706">
        <f t="shared" si="11"/>
        <v>100</v>
      </c>
      <c r="V34" s="705" t="s">
        <v>14</v>
      </c>
      <c r="W34" s="706">
        <f t="shared" si="12"/>
        <v>100</v>
      </c>
      <c r="X34" s="1353"/>
      <c r="Y34" s="3730"/>
      <c r="Z34" s="1354" t="str">
        <f t="shared" si="13"/>
        <v>土地级别</v>
      </c>
      <c r="AA34" s="1351">
        <f t="shared" si="3"/>
        <v>1</v>
      </c>
      <c r="AB34" s="1351">
        <f t="shared" si="4"/>
        <v>1</v>
      </c>
      <c r="AC34" s="1351">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0"/>
      <c r="Q35" s="1350">
        <f t="shared" si="8"/>
        <v>111</v>
      </c>
      <c r="R35" s="705" t="s">
        <v>14</v>
      </c>
      <c r="S35" s="706">
        <f t="shared" si="10"/>
        <v>100</v>
      </c>
      <c r="T35" s="705" t="s">
        <v>14</v>
      </c>
      <c r="U35" s="706">
        <f t="shared" si="11"/>
        <v>100</v>
      </c>
      <c r="V35" s="705" t="s">
        <v>14</v>
      </c>
      <c r="W35" s="706">
        <f t="shared" si="12"/>
        <v>100</v>
      </c>
      <c r="X35" s="1353"/>
      <c r="Y35" s="3730"/>
      <c r="Z35" s="1354">
        <f t="shared" si="13"/>
        <v>111</v>
      </c>
      <c r="AA35" s="1351">
        <f t="shared" si="3"/>
        <v>1</v>
      </c>
      <c r="AB35" s="1351">
        <f t="shared" si="4"/>
        <v>1</v>
      </c>
      <c r="AC35" s="1351">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1" t="s">
        <v>1693</v>
      </c>
      <c r="Q36" s="1350">
        <f t="shared" si="8"/>
        <v>111</v>
      </c>
      <c r="R36" s="705" t="s">
        <v>14</v>
      </c>
      <c r="S36" s="706">
        <f t="shared" si="10"/>
        <v>100</v>
      </c>
      <c r="T36" s="705" t="s">
        <v>14</v>
      </c>
      <c r="U36" s="706">
        <f t="shared" si="11"/>
        <v>100</v>
      </c>
      <c r="V36" s="705" t="s">
        <v>14</v>
      </c>
      <c r="W36" s="706">
        <f t="shared" si="12"/>
        <v>100</v>
      </c>
      <c r="X36" s="1353"/>
      <c r="Y36" s="3732" t="s">
        <v>1693</v>
      </c>
      <c r="Z36" s="1354">
        <f t="shared" si="13"/>
        <v>111</v>
      </c>
      <c r="AA36" s="1351">
        <f t="shared" si="3"/>
        <v>1</v>
      </c>
      <c r="AB36" s="1351">
        <f t="shared" si="4"/>
        <v>1</v>
      </c>
      <c r="AC36" s="1351">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2"/>
      <c r="Q37" s="1350">
        <f t="shared" si="8"/>
        <v>111</v>
      </c>
      <c r="R37" s="708" t="s">
        <v>14</v>
      </c>
      <c r="S37" s="709">
        <f t="shared" si="10"/>
        <v>100</v>
      </c>
      <c r="T37" s="708" t="s">
        <v>14</v>
      </c>
      <c r="U37" s="709">
        <f t="shared" si="11"/>
        <v>100</v>
      </c>
      <c r="V37" s="708" t="s">
        <v>14</v>
      </c>
      <c r="W37" s="709">
        <f t="shared" si="12"/>
        <v>100</v>
      </c>
      <c r="X37" s="710"/>
      <c r="Y37" s="3732"/>
      <c r="Z37" s="711">
        <f t="shared" si="13"/>
        <v>111</v>
      </c>
      <c r="AA37" s="1351">
        <f t="shared" si="3"/>
        <v>1</v>
      </c>
      <c r="AB37" s="1351">
        <f t="shared" si="4"/>
        <v>1</v>
      </c>
      <c r="AC37" s="1351">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32"/>
      <c r="Q38" s="1350" t="str">
        <f>B38</f>
        <v>宗地面积</v>
      </c>
      <c r="R38" s="705" t="s">
        <v>14</v>
      </c>
      <c r="S38" s="706" t="e">
        <f t="shared" si="10"/>
        <v>#N/A</v>
      </c>
      <c r="T38" s="705" t="s">
        <v>14</v>
      </c>
      <c r="U38" s="706" t="e">
        <f t="shared" si="11"/>
        <v>#N/A</v>
      </c>
      <c r="V38" s="705" t="s">
        <v>14</v>
      </c>
      <c r="W38" s="706" t="e">
        <f t="shared" si="12"/>
        <v>#N/A</v>
      </c>
      <c r="X38" s="1353"/>
      <c r="Y38" s="3732"/>
      <c r="Z38" s="1354" t="str">
        <f t="shared" si="13"/>
        <v>宗地面积</v>
      </c>
      <c r="AA38" s="1351" t="e">
        <f t="shared" si="3"/>
        <v>#N/A</v>
      </c>
      <c r="AB38" s="1351" t="e">
        <f t="shared" si="4"/>
        <v>#N/A</v>
      </c>
      <c r="AC38" s="1351" t="e">
        <f t="shared" si="5"/>
        <v>#N/A</v>
      </c>
    </row>
    <row r="39" spans="1:29" ht="15">
      <c r="A39" s="423"/>
      <c r="B39" s="375" t="s">
        <v>1872</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8"/>
      <c r="M39" s="2712"/>
      <c r="N39" s="2712"/>
      <c r="O39" s="2770"/>
      <c r="P39" s="3732"/>
      <c r="Q39" s="1350" t="str">
        <f t="shared" ref="Q39:Q45" si="14">B39</f>
        <v>宗地形状</v>
      </c>
      <c r="R39" s="705" t="s">
        <v>14</v>
      </c>
      <c r="S39" s="706">
        <f t="shared" si="10"/>
        <v>100</v>
      </c>
      <c r="T39" s="705" t="s">
        <v>14</v>
      </c>
      <c r="U39" s="706">
        <f t="shared" si="11"/>
        <v>100</v>
      </c>
      <c r="V39" s="705" t="s">
        <v>14</v>
      </c>
      <c r="W39" s="706">
        <f t="shared" si="12"/>
        <v>100</v>
      </c>
      <c r="X39" s="1353"/>
      <c r="Y39" s="3732"/>
      <c r="Z39" s="1354" t="str">
        <f t="shared" si="13"/>
        <v>宗地形状</v>
      </c>
      <c r="AA39" s="1351">
        <f t="shared" si="3"/>
        <v>1</v>
      </c>
      <c r="AB39" s="1351">
        <f t="shared" si="4"/>
        <v>1</v>
      </c>
      <c r="AC39" s="1351">
        <f t="shared" si="5"/>
        <v>1</v>
      </c>
    </row>
    <row r="40" spans="1:29" ht="15">
      <c r="A40" s="423"/>
      <c r="B40" s="375" t="s">
        <v>1873</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732"/>
      <c r="Q40" s="1350" t="str">
        <f t="shared" si="14"/>
        <v>临街宽度及深度</v>
      </c>
      <c r="R40" s="705" t="s">
        <v>14</v>
      </c>
      <c r="S40" s="706">
        <f t="shared" si="10"/>
        <v>100</v>
      </c>
      <c r="T40" s="705" t="s">
        <v>14</v>
      </c>
      <c r="U40" s="706">
        <f t="shared" si="11"/>
        <v>100</v>
      </c>
      <c r="V40" s="705" t="s">
        <v>14</v>
      </c>
      <c r="W40" s="706">
        <f t="shared" si="12"/>
        <v>100</v>
      </c>
      <c r="X40" s="1353"/>
      <c r="Y40" s="3732"/>
      <c r="Z40" s="1354" t="str">
        <f t="shared" si="13"/>
        <v>临街宽度及深度</v>
      </c>
      <c r="AA40" s="1351">
        <f t="shared" si="3"/>
        <v>1</v>
      </c>
      <c r="AB40" s="1351">
        <f t="shared" si="4"/>
        <v>1</v>
      </c>
      <c r="AC40" s="1351">
        <f t="shared" si="5"/>
        <v>1</v>
      </c>
    </row>
    <row r="41" spans="1:29" s="108" customFormat="1" ht="15">
      <c r="A41" s="424"/>
      <c r="B41" s="375" t="s">
        <v>1874</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32"/>
      <c r="Q41" s="1350"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1875</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8"/>
      <c r="M42" s="2712"/>
      <c r="N42" s="2712"/>
      <c r="O42" s="2770"/>
      <c r="P42" s="3732" t="s">
        <v>1693</v>
      </c>
      <c r="Q42" s="1350" t="str">
        <f t="shared" si="14"/>
        <v>工程地质条件</v>
      </c>
      <c r="R42" s="705" t="s">
        <v>14</v>
      </c>
      <c r="S42" s="706">
        <f t="shared" si="10"/>
        <v>100</v>
      </c>
      <c r="T42" s="705" t="s">
        <v>14</v>
      </c>
      <c r="U42" s="706">
        <f t="shared" si="11"/>
        <v>100</v>
      </c>
      <c r="V42" s="705" t="s">
        <v>14</v>
      </c>
      <c r="W42" s="706">
        <f t="shared" si="12"/>
        <v>100</v>
      </c>
      <c r="X42" s="1353"/>
      <c r="Y42" s="3732" t="s">
        <v>1693</v>
      </c>
      <c r="Z42" s="1354" t="str">
        <f t="shared" si="13"/>
        <v>工程地质条件</v>
      </c>
      <c r="AA42" s="1351">
        <f t="shared" si="3"/>
        <v>1</v>
      </c>
      <c r="AB42" s="1351">
        <f t="shared" si="4"/>
        <v>1</v>
      </c>
      <c r="AC42" s="1351">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2"/>
      <c r="Q43" s="1350">
        <f t="shared" si="14"/>
        <v>111</v>
      </c>
      <c r="R43" s="705" t="s">
        <v>14</v>
      </c>
      <c r="S43" s="706">
        <f t="shared" si="10"/>
        <v>100</v>
      </c>
      <c r="T43" s="705" t="s">
        <v>14</v>
      </c>
      <c r="U43" s="706">
        <f t="shared" si="11"/>
        <v>100</v>
      </c>
      <c r="V43" s="705" t="s">
        <v>14</v>
      </c>
      <c r="W43" s="706">
        <f t="shared" si="12"/>
        <v>100</v>
      </c>
      <c r="X43" s="1353"/>
      <c r="Y43" s="3732"/>
      <c r="Z43" s="1354">
        <f t="shared" si="13"/>
        <v>111</v>
      </c>
      <c r="AA43" s="1351">
        <f t="shared" si="3"/>
        <v>1</v>
      </c>
      <c r="AB43" s="1351">
        <f t="shared" si="4"/>
        <v>1</v>
      </c>
      <c r="AC43" s="1351">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2"/>
      <c r="Q44" s="1350">
        <f t="shared" si="14"/>
        <v>111</v>
      </c>
      <c r="R44" s="705" t="s">
        <v>14</v>
      </c>
      <c r="S44" s="706">
        <f t="shared" si="10"/>
        <v>100</v>
      </c>
      <c r="T44" s="705" t="s">
        <v>14</v>
      </c>
      <c r="U44" s="706">
        <f t="shared" si="11"/>
        <v>100</v>
      </c>
      <c r="V44" s="705" t="s">
        <v>14</v>
      </c>
      <c r="W44" s="706">
        <f t="shared" si="12"/>
        <v>100</v>
      </c>
      <c r="X44" s="1353"/>
      <c r="Y44" s="3732"/>
      <c r="Z44" s="1354">
        <f t="shared" si="13"/>
        <v>111</v>
      </c>
      <c r="AA44" s="1351">
        <f t="shared" si="3"/>
        <v>1</v>
      </c>
      <c r="AB44" s="1351">
        <f t="shared" si="4"/>
        <v>1</v>
      </c>
      <c r="AC44" s="1351">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2"/>
      <c r="Q45" s="1350">
        <f t="shared" si="14"/>
        <v>111</v>
      </c>
      <c r="R45" s="708" t="s">
        <v>14</v>
      </c>
      <c r="S45" s="709">
        <f t="shared" si="10"/>
        <v>100</v>
      </c>
      <c r="T45" s="708" t="s">
        <v>14</v>
      </c>
      <c r="U45" s="709">
        <f t="shared" si="11"/>
        <v>100</v>
      </c>
      <c r="V45" s="708" t="s">
        <v>14</v>
      </c>
      <c r="W45" s="709">
        <f t="shared" si="12"/>
        <v>100</v>
      </c>
      <c r="X45" s="710"/>
      <c r="Y45" s="3732"/>
      <c r="Z45" s="711">
        <f t="shared" si="13"/>
        <v>111</v>
      </c>
      <c r="AA45" s="1351">
        <f t="shared" si="3"/>
        <v>1</v>
      </c>
      <c r="AB45" s="1351">
        <f t="shared" si="4"/>
        <v>1</v>
      </c>
      <c r="AC45" s="1351">
        <f t="shared" si="5"/>
        <v>1</v>
      </c>
    </row>
    <row r="46" spans="1:29" ht="15">
      <c r="A46" s="430" t="s">
        <v>1841</v>
      </c>
      <c r="B46" s="1979" t="s">
        <v>1876</v>
      </c>
      <c r="C46" s="630" t="s">
        <v>0</v>
      </c>
      <c r="D46" s="432"/>
      <c r="E46" s="433"/>
      <c r="F46" s="434"/>
      <c r="G46" s="435"/>
      <c r="H46" s="436"/>
      <c r="I46" s="433"/>
      <c r="J46" s="436"/>
      <c r="K46" s="714"/>
      <c r="L46" s="2720"/>
      <c r="M46" s="2721"/>
      <c r="N46" s="2712"/>
      <c r="O46" s="2721"/>
      <c r="P46" s="3728" t="str">
        <f>A46</f>
        <v>成交单价</v>
      </c>
      <c r="Q46" s="3728"/>
      <c r="R46" s="3733">
        <f>E46</f>
        <v>0</v>
      </c>
      <c r="S46" s="3733"/>
      <c r="T46" s="3733">
        <f>G46</f>
        <v>0</v>
      </c>
      <c r="U46" s="3733"/>
      <c r="V46" s="3733">
        <f>I46</f>
        <v>0</v>
      </c>
      <c r="W46" s="3733"/>
      <c r="X46" s="690"/>
      <c r="Y46" s="712"/>
      <c r="Z46" s="690"/>
      <c r="AA46" s="690"/>
      <c r="AB46" s="690"/>
      <c r="AC46" s="690"/>
    </row>
    <row r="47" spans="1:29" ht="15.75" thickBot="1">
      <c r="A47" s="437" t="s">
        <v>1790</v>
      </c>
      <c r="B47" s="631"/>
      <c r="C47" s="440" t="e">
        <f>R48</f>
        <v>#DIV/0!</v>
      </c>
      <c r="D47" s="2314" t="s">
        <v>2134</v>
      </c>
      <c r="E47" s="440" t="e">
        <f>R47</f>
        <v>#DIV/0!</v>
      </c>
      <c r="F47" s="2315"/>
      <c r="G47" s="439" t="e">
        <f>T47</f>
        <v>#DIV/0!</v>
      </c>
      <c r="H47" s="2315"/>
      <c r="I47" s="440" t="e">
        <f>V47</f>
        <v>#DIV/0!</v>
      </c>
      <c r="J47" s="2315"/>
      <c r="K47" s="2317">
        <f>F47+H47+J47</f>
        <v>0</v>
      </c>
      <c r="L47" s="2720"/>
      <c r="M47" s="2721"/>
      <c r="N47" s="2721"/>
      <c r="O47" s="2721"/>
      <c r="P47" s="3728" t="str">
        <f>A47</f>
        <v>比较价值（元/平方米）</v>
      </c>
      <c r="Q47" s="3728"/>
      <c r="R47" s="3721" t="e">
        <f>ROUND(PRODUCT(R46,AA7:AA45),0)</f>
        <v>#DIV/0!</v>
      </c>
      <c r="S47" s="3721"/>
      <c r="T47" s="3721" t="e">
        <f>ROUND(PRODUCT(T46,AB7:AB45),0)</f>
        <v>#DIV/0!</v>
      </c>
      <c r="U47" s="3721"/>
      <c r="V47" s="3721" t="e">
        <f>ROUND(PRODUCT(V46,AC7:AC45),0)</f>
        <v>#DIV/0!</v>
      </c>
      <c r="W47" s="3721"/>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0"/>
      <c r="M48" s="2721"/>
      <c r="N48" s="2721"/>
      <c r="O48" s="2721"/>
      <c r="P48" s="3722" t="str">
        <f>A48</f>
        <v>估价对象XX用房的比较价值（楼面单价，元/平方米）</v>
      </c>
      <c r="Q48" s="3723"/>
      <c r="R48" s="3724" t="e">
        <f>ROUND(IF(D47="简单平均",AVERAGE(R47:W47),R47*F47+T47*H47+V47*J47),0)</f>
        <v>#DIV/0!</v>
      </c>
      <c r="S48" s="3724"/>
      <c r="T48" s="3724"/>
      <c r="U48" s="3724"/>
      <c r="V48" s="3724"/>
      <c r="W48" s="3724"/>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1878</v>
      </c>
      <c r="B55" s="633" t="s">
        <v>1879</v>
      </c>
      <c r="C55" s="1980" t="s">
        <v>1880</v>
      </c>
      <c r="D55" s="1981" t="s">
        <v>1881</v>
      </c>
      <c r="E55" s="634" t="s">
        <v>1882</v>
      </c>
      <c r="F55" s="890" t="s">
        <v>1883</v>
      </c>
      <c r="G55" s="3725" t="s">
        <v>1884</v>
      </c>
      <c r="H55" s="3726"/>
      <c r="I55" s="135" t="s">
        <v>1885</v>
      </c>
      <c r="J55" s="1982" t="str">
        <f>项目基本情况!F35</f>
        <v>天津市</v>
      </c>
      <c r="K55" s="1983" t="s">
        <v>1886</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1887</v>
      </c>
      <c r="B56" s="637" t="e">
        <f>C48</f>
        <v>#DIV/0!</v>
      </c>
      <c r="C56" s="638">
        <v>1</v>
      </c>
      <c r="D56" s="944">
        <v>1</v>
      </c>
      <c r="E56" s="638">
        <f>'数据-汇总表'!E8+'数据-汇总表'!E9</f>
        <v>270063.75999999995</v>
      </c>
      <c r="F56" s="886" t="e">
        <f t="shared" ref="F56:F64" si="15">ROUND(B56*E56/10000,0)</f>
        <v>#DIV/0!</v>
      </c>
      <c r="G56" s="3727"/>
      <c r="H56" s="3728"/>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1888</v>
      </c>
      <c r="B57" s="218" t="e">
        <f>ROUND($C$48*C57*D57,0)</f>
        <v>#DIV/0!</v>
      </c>
      <c r="C57" s="171">
        <f t="shared" ref="C57:C64" si="16">IF($C$55="北京市系数",I57,J57)</f>
        <v>0</v>
      </c>
      <c r="D57" s="945">
        <v>0.25</v>
      </c>
      <c r="E57" s="642"/>
      <c r="F57" s="886" t="e">
        <f t="shared" si="15"/>
        <v>#DIV/0!</v>
      </c>
      <c r="G57" s="3002" t="s">
        <v>1889</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1890</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1891</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1892</v>
      </c>
      <c r="B60" s="218" t="e">
        <f t="shared" si="17"/>
        <v>#DIV/0!</v>
      </c>
      <c r="C60" s="171">
        <f t="shared" si="16"/>
        <v>0</v>
      </c>
      <c r="D60" s="945">
        <v>0.25</v>
      </c>
      <c r="E60" s="217">
        <f>'数据-汇总表'!E11</f>
        <v>0</v>
      </c>
      <c r="F60" s="886" t="e">
        <f t="shared" si="15"/>
        <v>#DIV/0!</v>
      </c>
      <c r="G60" s="1984" t="s">
        <v>1893</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1898</v>
      </c>
      <c r="B63" s="218" t="e">
        <f t="shared" si="17"/>
        <v>#DIV/0!</v>
      </c>
      <c r="C63" s="171">
        <f t="shared" si="16"/>
        <v>0</v>
      </c>
      <c r="D63" s="945">
        <v>0.25</v>
      </c>
      <c r="E63" s="217">
        <f>'数据-汇总表'!E14</f>
        <v>0</v>
      </c>
      <c r="F63" s="886" t="e">
        <f t="shared" si="15"/>
        <v>#DIV/0!</v>
      </c>
      <c r="G63" s="1984" t="s">
        <v>1889</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1899</v>
      </c>
      <c r="B64" s="218" t="e">
        <f t="shared" si="17"/>
        <v>#DIV/0!</v>
      </c>
      <c r="C64" s="171">
        <f t="shared" si="16"/>
        <v>0</v>
      </c>
      <c r="D64" s="945">
        <v>0.25</v>
      </c>
      <c r="E64" s="217">
        <f>'数据-汇总表'!E15</f>
        <v>0</v>
      </c>
      <c r="F64" s="886" t="e">
        <f t="shared" si="15"/>
        <v>#DIV/0!</v>
      </c>
      <c r="G64" s="1985" t="s">
        <v>1893</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1900</v>
      </c>
      <c r="B65" s="644" t="s">
        <v>22</v>
      </c>
      <c r="C65" s="644" t="s">
        <v>23</v>
      </c>
      <c r="D65" s="644" t="s">
        <v>392</v>
      </c>
      <c r="E65" s="644">
        <f>IF(B46="楼面地价",SUM(E56:E64),'数据-汇总表'!D3)</f>
        <v>270063.75999999995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1"/>
      <c r="Q67" s="2721"/>
      <c r="R67" s="2721"/>
      <c r="S67" s="2721"/>
      <c r="T67" s="2721"/>
      <c r="U67" s="2721"/>
      <c r="V67" s="2721"/>
      <c r="W67" s="2721"/>
      <c r="X67" s="2721"/>
      <c r="Y67" s="2721"/>
      <c r="Z67" s="2721"/>
      <c r="AA67" s="2721"/>
      <c r="AB67" s="2721"/>
      <c r="AC67" s="2721"/>
    </row>
    <row r="68" spans="1:29" ht="21.75" thickBot="1">
      <c r="A68" s="694" t="s">
        <v>1795</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1901</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7"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1" zoomScale="90" zoomScaleNormal="60" zoomScaleSheetLayoutView="90" workbookViewId="0">
      <selection activeCell="I41" sqref="I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f>F61</f>
        <v>19436</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1461</v>
      </c>
      <c r="B3" s="558">
        <f>ROUND(IF(D3="",B2*10000/'数据-汇总表'!E3,B2*10000/D3),0)</f>
        <v>717</v>
      </c>
      <c r="C3" s="203" t="s">
        <v>1866</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1766</v>
      </c>
      <c r="B4" s="356"/>
      <c r="C4" s="3725" t="s">
        <v>1767</v>
      </c>
      <c r="D4" s="3737"/>
      <c r="E4" s="3738" t="s">
        <v>1768</v>
      </c>
      <c r="F4" s="3739"/>
      <c r="G4" s="3725" t="s">
        <v>1769</v>
      </c>
      <c r="H4" s="3737"/>
      <c r="I4" s="3725" t="s">
        <v>1770</v>
      </c>
      <c r="J4" s="3737"/>
      <c r="K4" s="559" t="s">
        <v>1771</v>
      </c>
      <c r="L4" s="2711"/>
      <c r="M4" s="2712"/>
      <c r="N4" s="2712"/>
      <c r="O4" s="2712"/>
      <c r="P4" s="3740" t="s">
        <v>1772</v>
      </c>
      <c r="Q4" s="3741"/>
      <c r="R4" s="3746" t="s">
        <v>1768</v>
      </c>
      <c r="S4" s="3747"/>
      <c r="T4" s="3746" t="s">
        <v>1769</v>
      </c>
      <c r="U4" s="3747"/>
      <c r="V4" s="3733" t="s">
        <v>1770</v>
      </c>
      <c r="W4" s="3733"/>
      <c r="X4" s="1353"/>
      <c r="Y4" s="3746" t="s">
        <v>1772</v>
      </c>
      <c r="Z4" s="3747"/>
      <c r="AA4" s="3734" t="s">
        <v>1768</v>
      </c>
      <c r="AB4" s="3735" t="s">
        <v>1769</v>
      </c>
      <c r="AC4" s="3734" t="s">
        <v>1770</v>
      </c>
    </row>
    <row r="5" spans="1:29" ht="70.5" customHeight="1">
      <c r="A5" s="358"/>
      <c r="B5" s="359"/>
      <c r="C5" s="3754" t="s">
        <v>1670</v>
      </c>
      <c r="D5" s="3755"/>
      <c r="E5" s="3761" t="str">
        <f>土地案例!A3</f>
        <v>北辰区天津高端装备制造产业园兴河路与永进道交口</v>
      </c>
      <c r="F5" s="3762"/>
      <c r="G5" s="3754" t="str">
        <f>土地案例!A5</f>
        <v>北辰区高端装备产业园兴河路与永信道交口</v>
      </c>
      <c r="H5" s="3755"/>
      <c r="I5" s="3754" t="str">
        <f>土地案例!A10</f>
        <v>北辰区永丰道与山河路交口</v>
      </c>
      <c r="J5" s="3755"/>
      <c r="K5" s="559"/>
      <c r="L5" s="2711"/>
      <c r="M5" s="2712"/>
      <c r="N5" s="2712"/>
      <c r="O5" s="2712"/>
      <c r="P5" s="3742"/>
      <c r="Q5" s="3743"/>
      <c r="R5" s="3748"/>
      <c r="S5" s="3749"/>
      <c r="T5" s="3748"/>
      <c r="U5" s="3749"/>
      <c r="V5" s="3733"/>
      <c r="W5" s="3733"/>
      <c r="X5" s="1353"/>
      <c r="Y5" s="3748"/>
      <c r="Z5" s="3749"/>
      <c r="AA5" s="3735"/>
      <c r="AB5" s="3735"/>
      <c r="AC5" s="3735"/>
    </row>
    <row r="6" spans="1:29" ht="15.75" thickBot="1">
      <c r="A6" s="360"/>
      <c r="B6" s="361"/>
      <c r="C6" s="3763" t="s">
        <v>1916</v>
      </c>
      <c r="D6" s="3764"/>
      <c r="E6" s="3765" t="s">
        <v>1916</v>
      </c>
      <c r="F6" s="3766"/>
      <c r="G6" s="3763" t="s">
        <v>1916</v>
      </c>
      <c r="H6" s="3764"/>
      <c r="I6" s="3763" t="s">
        <v>1916</v>
      </c>
      <c r="J6" s="3764"/>
      <c r="K6" s="559" t="s">
        <v>1675</v>
      </c>
      <c r="L6" s="2711"/>
      <c r="M6" s="2712"/>
      <c r="N6" s="2712"/>
      <c r="O6" s="2712"/>
      <c r="P6" s="3744"/>
      <c r="Q6" s="3745"/>
      <c r="R6" s="3748"/>
      <c r="S6" s="3749"/>
      <c r="T6" s="3750"/>
      <c r="U6" s="3751"/>
      <c r="V6" s="3733"/>
      <c r="W6" s="3733"/>
      <c r="X6" s="1353"/>
      <c r="Y6" s="3750"/>
      <c r="Z6" s="3751"/>
      <c r="AA6" s="3736"/>
      <c r="AB6" s="3736"/>
      <c r="AC6" s="3736"/>
    </row>
    <row r="7" spans="1:29" s="108" customFormat="1" ht="15.75" thickBot="1">
      <c r="A7" s="362" t="s">
        <v>1676</v>
      </c>
      <c r="B7" s="363"/>
      <c r="C7" s="364">
        <f>'数据-取费表'!B2</f>
        <v>45540</v>
      </c>
      <c r="D7" s="365">
        <v>100</v>
      </c>
      <c r="E7" s="366">
        <f>土地案例!O3</f>
        <v>45499.000497685185</v>
      </c>
      <c r="F7" s="367">
        <f>SUMIF(65:65,YEAR(E7)&amp;"-"&amp;INT((MONTH(E7)+2)/3),66:66)</f>
        <v>100</v>
      </c>
      <c r="G7" s="1971">
        <f>土地案例!O5</f>
        <v>45320.000497685185</v>
      </c>
      <c r="H7" s="365">
        <f>SUMIF(65:65,YEAR(G7)&amp;"-"&amp;INT((MONTH(G7)+2)/3),66:66)</f>
        <v>100</v>
      </c>
      <c r="I7" s="1971">
        <f>土地案例!O10</f>
        <v>45042.000497685185</v>
      </c>
      <c r="J7" s="365">
        <f>SUMIF(65:65,YEAR(I7)&amp;"-"&amp;INT((MONTH(I7)+2)/3),66:66)</f>
        <v>100</v>
      </c>
      <c r="K7" s="560"/>
      <c r="L7" s="2713"/>
      <c r="M7" s="2714"/>
      <c r="N7" s="2714"/>
      <c r="O7" s="2714"/>
      <c r="P7" s="3756" t="s">
        <v>1677</v>
      </c>
      <c r="Q7" s="3758"/>
      <c r="R7" s="701" t="s">
        <v>14</v>
      </c>
      <c r="S7" s="702">
        <f t="shared" ref="S7:S15" si="0">F7</f>
        <v>100</v>
      </c>
      <c r="T7" s="701" t="s">
        <v>14</v>
      </c>
      <c r="U7" s="702">
        <f t="shared" ref="U7:U15" si="1">H7</f>
        <v>100</v>
      </c>
      <c r="V7" s="701" t="s">
        <v>14</v>
      </c>
      <c r="W7" s="702">
        <f t="shared" ref="W7:W15" si="2">J7</f>
        <v>100</v>
      </c>
      <c r="X7" s="703"/>
      <c r="Y7" s="3756" t="s">
        <v>1677</v>
      </c>
      <c r="Z7" s="3757"/>
      <c r="AA7" s="704">
        <f>D7/F7</f>
        <v>1</v>
      </c>
      <c r="AB7" s="704">
        <f>D7/H7</f>
        <v>1</v>
      </c>
      <c r="AC7" s="704">
        <f>D7/J7</f>
        <v>1</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56" t="s">
        <v>1680</v>
      </c>
      <c r="Q8" s="3757"/>
      <c r="R8" s="701" t="s">
        <v>14</v>
      </c>
      <c r="S8" s="702">
        <f t="shared" si="0"/>
        <v>100</v>
      </c>
      <c r="T8" s="701" t="s">
        <v>14</v>
      </c>
      <c r="U8" s="702">
        <f t="shared" si="1"/>
        <v>100</v>
      </c>
      <c r="V8" s="701" t="s">
        <v>14</v>
      </c>
      <c r="W8" s="702">
        <f t="shared" si="2"/>
        <v>100</v>
      </c>
      <c r="X8" s="703"/>
      <c r="Y8" s="3756" t="s">
        <v>1680</v>
      </c>
      <c r="Z8" s="3757"/>
      <c r="AA8" s="704">
        <f t="shared" ref="AA8:AA40" si="3">D8/F8</f>
        <v>1</v>
      </c>
      <c r="AB8" s="704">
        <f t="shared" ref="AB8:AB40" si="4">D8/H8</f>
        <v>1</v>
      </c>
      <c r="AC8" s="704">
        <f t="shared" ref="AC8:AC40" si="5">D8/J8</f>
        <v>1</v>
      </c>
    </row>
    <row r="9" spans="1:29" s="108" customFormat="1">
      <c r="A9" s="369" t="s">
        <v>1681</v>
      </c>
      <c r="B9" s="63" t="s">
        <v>1682</v>
      </c>
      <c r="C9" s="1974" t="s">
        <v>2481</v>
      </c>
      <c r="D9" s="126">
        <v>100</v>
      </c>
      <c r="E9" s="1974" t="s">
        <v>2477</v>
      </c>
      <c r="F9" s="126">
        <f>SUMIF(70:70,E9,71:71)-SUMIF(70:70,C9,71:71)+100</f>
        <v>100</v>
      </c>
      <c r="G9" s="1974" t="s">
        <v>2477</v>
      </c>
      <c r="H9" s="126">
        <f>SUMIF(70:70,G9,71:71)-SUMIF(70:70,C9,71:71)+100</f>
        <v>100</v>
      </c>
      <c r="I9" s="1974" t="s">
        <v>2477</v>
      </c>
      <c r="J9" s="126">
        <f>SUMIF(70:70,I9,71:71)-SUMIF(70:70,C9,71:71)+100</f>
        <v>100</v>
      </c>
      <c r="K9" s="560"/>
      <c r="L9" s="2713"/>
      <c r="M9" s="2714"/>
      <c r="N9" s="2714"/>
      <c r="O9" s="2768"/>
      <c r="P9" s="3728" t="s">
        <v>1683</v>
      </c>
      <c r="Q9" s="1341"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102</v>
      </c>
      <c r="G10" s="383"/>
      <c r="H10" s="127">
        <f>ROUND(100/'数据-取费表'!G16,0)</f>
        <v>102</v>
      </c>
      <c r="I10" s="383"/>
      <c r="J10" s="127">
        <f>ROUND(100/'数据-取费表'!G16,0)</f>
        <v>102</v>
      </c>
      <c r="K10" s="620"/>
      <c r="L10" s="2715"/>
      <c r="M10" s="2716"/>
      <c r="N10" s="2716"/>
      <c r="O10" s="2769"/>
      <c r="P10" s="3728"/>
      <c r="Q10" s="1341" t="str">
        <f t="shared" si="6"/>
        <v>土地使用年限（年）</v>
      </c>
      <c r="R10" s="701" t="s">
        <v>14</v>
      </c>
      <c r="S10" s="702">
        <f t="shared" si="0"/>
        <v>102</v>
      </c>
      <c r="T10" s="701" t="s">
        <v>14</v>
      </c>
      <c r="U10" s="702">
        <f t="shared" si="1"/>
        <v>102</v>
      </c>
      <c r="V10" s="701" t="s">
        <v>14</v>
      </c>
      <c r="W10" s="702">
        <f t="shared" si="2"/>
        <v>102</v>
      </c>
      <c r="X10" s="703"/>
      <c r="Y10" s="3625"/>
      <c r="Z10" s="52" t="str">
        <f t="shared" si="7"/>
        <v>土地使用年限（年）</v>
      </c>
      <c r="AA10" s="704">
        <f t="shared" si="3"/>
        <v>0.98039215686274506</v>
      </c>
      <c r="AB10" s="704">
        <f t="shared" si="4"/>
        <v>0.98039215686274506</v>
      </c>
      <c r="AC10" s="704">
        <f t="shared" si="5"/>
        <v>0.98039215686274506</v>
      </c>
    </row>
    <row r="11" spans="1:29" ht="15">
      <c r="A11" s="379"/>
      <c r="B11" s="3516" t="s">
        <v>1686</v>
      </c>
      <c r="C11" s="380">
        <f>'数据-汇总表'!I4</f>
        <v>1.1200000000000001</v>
      </c>
      <c r="D11" s="127">
        <v>100</v>
      </c>
      <c r="E11" s="380" t="s">
        <v>3810</v>
      </c>
      <c r="F11" s="127">
        <f>LOOKUP(E11,75:75,76:76)-LOOKUP(C11,75:75,76:76)+100</f>
        <v>100</v>
      </c>
      <c r="G11" s="380" t="s">
        <v>3810</v>
      </c>
      <c r="H11" s="127">
        <f>LOOKUP(G11,75:75,76:76)-LOOKUP(C11,75:75,76:76)+100</f>
        <v>100</v>
      </c>
      <c r="I11" s="380" t="s">
        <v>3810</v>
      </c>
      <c r="J11" s="127">
        <f>LOOKUP(I11,75:75,76:76)-LOOKUP(C11,75:75,76:76)+100</f>
        <v>100</v>
      </c>
      <c r="K11" s="3888">
        <v>0</v>
      </c>
      <c r="L11" s="2717"/>
      <c r="M11" s="2712"/>
      <c r="N11" s="2712"/>
      <c r="O11" s="2770"/>
      <c r="P11" s="3728"/>
      <c r="Q11" s="1341"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28"/>
      <c r="Q12" s="1341">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28"/>
      <c r="Q13" s="1341">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28"/>
      <c r="Q14" s="1341">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1687</v>
      </c>
      <c r="B15" s="577" t="s">
        <v>1917</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18"/>
      <c r="M15" s="2712"/>
      <c r="N15" s="2712"/>
      <c r="O15" s="2770"/>
      <c r="P15" s="3729" t="s">
        <v>1688</v>
      </c>
      <c r="Q15" s="1350" t="str">
        <f t="shared" si="6"/>
        <v>产业集聚程度</v>
      </c>
      <c r="R15" s="705" t="s">
        <v>14</v>
      </c>
      <c r="S15" s="706">
        <f t="shared" si="0"/>
        <v>100</v>
      </c>
      <c r="T15" s="705" t="s">
        <v>14</v>
      </c>
      <c r="U15" s="706">
        <f t="shared" si="1"/>
        <v>100</v>
      </c>
      <c r="V15" s="705" t="s">
        <v>14</v>
      </c>
      <c r="W15" s="706">
        <f t="shared" si="2"/>
        <v>100</v>
      </c>
      <c r="X15" s="1353"/>
      <c r="Y15" s="3729" t="s">
        <v>1688</v>
      </c>
      <c r="Z15" s="1354" t="str">
        <f t="shared" si="7"/>
        <v>产业集聚程度</v>
      </c>
      <c r="AA15" s="1351">
        <f t="shared" si="3"/>
        <v>1</v>
      </c>
      <c r="AB15" s="1351">
        <f t="shared" si="4"/>
        <v>1</v>
      </c>
      <c r="AC15" s="1351">
        <f t="shared" si="5"/>
        <v>1</v>
      </c>
    </row>
    <row r="16" spans="1:29" ht="15">
      <c r="A16" s="379"/>
      <c r="B16" s="578"/>
      <c r="C16" s="398" t="s">
        <v>3710</v>
      </c>
      <c r="D16" s="399"/>
      <c r="E16" s="398" t="s">
        <v>3710</v>
      </c>
      <c r="F16" s="399"/>
      <c r="G16" s="398" t="s">
        <v>3710</v>
      </c>
      <c r="H16" s="401"/>
      <c r="I16" s="398" t="s">
        <v>3710</v>
      </c>
      <c r="J16" s="399"/>
      <c r="K16" s="620"/>
      <c r="L16" s="2718"/>
      <c r="M16" s="2712"/>
      <c r="N16" s="2712"/>
      <c r="O16" s="2770"/>
      <c r="P16" s="3730"/>
      <c r="Q16" s="1350"/>
      <c r="R16" s="705"/>
      <c r="S16" s="706"/>
      <c r="T16" s="705"/>
      <c r="U16" s="706"/>
      <c r="V16" s="705"/>
      <c r="W16" s="706"/>
      <c r="X16" s="1353"/>
      <c r="Y16" s="3730"/>
      <c r="Z16" s="1354"/>
      <c r="AA16" s="1351">
        <v>1</v>
      </c>
      <c r="AB16" s="1351">
        <v>1</v>
      </c>
      <c r="AC16" s="1351">
        <v>1</v>
      </c>
    </row>
    <row r="17" spans="1:29" ht="85.5">
      <c r="A17" s="379"/>
      <c r="B17" s="3515" t="s">
        <v>1830</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8"/>
      <c r="M17" s="2712"/>
      <c r="N17" s="2712"/>
      <c r="O17" s="2770"/>
      <c r="P17" s="3730"/>
      <c r="Q17" s="1350" t="str">
        <f>B17</f>
        <v>交通便捷度</v>
      </c>
      <c r="R17" s="705" t="s">
        <v>14</v>
      </c>
      <c r="S17" s="706">
        <f>F17</f>
        <v>100</v>
      </c>
      <c r="T17" s="705" t="s">
        <v>14</v>
      </c>
      <c r="U17" s="706">
        <f>H17</f>
        <v>100</v>
      </c>
      <c r="V17" s="705" t="s">
        <v>14</v>
      </c>
      <c r="W17" s="706">
        <f>J17</f>
        <v>100</v>
      </c>
      <c r="X17" s="1353"/>
      <c r="Y17" s="3730"/>
      <c r="Z17" s="1354" t="str">
        <f>Q17</f>
        <v>交通便捷度</v>
      </c>
      <c r="AA17" s="1351">
        <f t="shared" si="3"/>
        <v>1</v>
      </c>
      <c r="AB17" s="1351">
        <f t="shared" si="4"/>
        <v>1</v>
      </c>
      <c r="AC17" s="1351">
        <f t="shared" si="5"/>
        <v>1</v>
      </c>
    </row>
    <row r="18" spans="1:29" ht="15">
      <c r="A18" s="379"/>
      <c r="B18" s="580"/>
      <c r="C18" s="398" t="s">
        <v>3744</v>
      </c>
      <c r="D18" s="399"/>
      <c r="E18" s="398" t="s">
        <v>3744</v>
      </c>
      <c r="F18" s="399"/>
      <c r="G18" s="398" t="s">
        <v>3744</v>
      </c>
      <c r="H18" s="399"/>
      <c r="I18" s="398" t="s">
        <v>3744</v>
      </c>
      <c r="J18" s="399"/>
      <c r="K18" s="620"/>
      <c r="L18" s="2718"/>
      <c r="M18" s="2712"/>
      <c r="N18" s="2712"/>
      <c r="O18" s="2770"/>
      <c r="P18" s="3730"/>
      <c r="Q18" s="1350"/>
      <c r="R18" s="705"/>
      <c r="S18" s="706"/>
      <c r="T18" s="705"/>
      <c r="U18" s="706"/>
      <c r="V18" s="705"/>
      <c r="W18" s="706"/>
      <c r="X18" s="1353"/>
      <c r="Y18" s="3730"/>
      <c r="Z18" s="1354"/>
      <c r="AA18" s="1351">
        <v>1</v>
      </c>
      <c r="AB18" s="1351">
        <v>1</v>
      </c>
      <c r="AC18" s="1351">
        <v>1</v>
      </c>
    </row>
    <row r="19" spans="1:29" ht="15">
      <c r="A19" s="379"/>
      <c r="B19" s="579" t="s">
        <v>1868</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18"/>
      <c r="M19" s="2712"/>
      <c r="N19" s="2712"/>
      <c r="O19" s="2770"/>
      <c r="P19" s="3730"/>
      <c r="Q19" s="1350" t="str">
        <f t="shared" ref="Q19:Q33" si="8">B19</f>
        <v>区域土地利用方向</v>
      </c>
      <c r="R19" s="705" t="s">
        <v>14</v>
      </c>
      <c r="S19" s="706">
        <f>F19</f>
        <v>100</v>
      </c>
      <c r="T19" s="705" t="s">
        <v>14</v>
      </c>
      <c r="U19" s="706">
        <f>H19</f>
        <v>100</v>
      </c>
      <c r="V19" s="705" t="s">
        <v>14</v>
      </c>
      <c r="W19" s="706">
        <f>J19</f>
        <v>100</v>
      </c>
      <c r="X19" s="1353"/>
      <c r="Y19" s="3730"/>
      <c r="Z19" s="1354" t="str">
        <f>Q19</f>
        <v>区域土地利用方向</v>
      </c>
      <c r="AA19" s="1351">
        <f t="shared" si="3"/>
        <v>1</v>
      </c>
      <c r="AB19" s="1351">
        <f t="shared" si="4"/>
        <v>1</v>
      </c>
      <c r="AC19" s="1351">
        <f t="shared" si="5"/>
        <v>1</v>
      </c>
    </row>
    <row r="20" spans="1:29" ht="15">
      <c r="A20" s="358"/>
      <c r="B20" s="580"/>
      <c r="C20" s="398" t="s">
        <v>3710</v>
      </c>
      <c r="D20" s="399"/>
      <c r="E20" s="1895" t="s">
        <v>3710</v>
      </c>
      <c r="F20" s="399"/>
      <c r="G20" s="1895" t="s">
        <v>3710</v>
      </c>
      <c r="H20" s="399"/>
      <c r="I20" s="1895" t="s">
        <v>3710</v>
      </c>
      <c r="J20" s="399"/>
      <c r="K20" s="740"/>
      <c r="L20" s="2718"/>
      <c r="M20" s="2712"/>
      <c r="N20" s="2712"/>
      <c r="O20" s="2770"/>
      <c r="P20" s="3730"/>
      <c r="Q20" s="1350"/>
      <c r="R20" s="705"/>
      <c r="S20" s="706"/>
      <c r="T20" s="705"/>
      <c r="U20" s="706"/>
      <c r="V20" s="705"/>
      <c r="W20" s="706"/>
      <c r="X20" s="1353"/>
      <c r="Y20" s="3730"/>
      <c r="Z20" s="1354"/>
      <c r="AA20" s="1351"/>
      <c r="AB20" s="1351"/>
      <c r="AC20" s="1351"/>
    </row>
    <row r="21" spans="1:29" ht="71.25">
      <c r="A21" s="358"/>
      <c r="B21" s="579" t="s">
        <v>1918</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8"/>
      <c r="M21" s="2712"/>
      <c r="N21" s="2712"/>
      <c r="O21" s="2770"/>
      <c r="P21" s="3730"/>
      <c r="Q21" s="1350" t="str">
        <f t="shared" si="8"/>
        <v>环境状况</v>
      </c>
      <c r="R21" s="705" t="s">
        <v>14</v>
      </c>
      <c r="S21" s="706">
        <f>F21</f>
        <v>100</v>
      </c>
      <c r="T21" s="705" t="s">
        <v>14</v>
      </c>
      <c r="U21" s="706">
        <f>H21</f>
        <v>100</v>
      </c>
      <c r="V21" s="705" t="s">
        <v>14</v>
      </c>
      <c r="W21" s="706">
        <f>J21</f>
        <v>100</v>
      </c>
      <c r="X21" s="1353"/>
      <c r="Y21" s="3730"/>
      <c r="Z21" s="1354" t="str">
        <f>Q21</f>
        <v>环境状况</v>
      </c>
      <c r="AA21" s="1351">
        <f t="shared" si="3"/>
        <v>1</v>
      </c>
      <c r="AB21" s="1351">
        <f t="shared" si="4"/>
        <v>1</v>
      </c>
      <c r="AC21" s="1351">
        <f t="shared" si="5"/>
        <v>1</v>
      </c>
    </row>
    <row r="22" spans="1:29" ht="15">
      <c r="A22" s="358"/>
      <c r="B22" s="580"/>
      <c r="C22" s="398" t="s">
        <v>3710</v>
      </c>
      <c r="D22" s="399"/>
      <c r="E22" s="398" t="s">
        <v>3710</v>
      </c>
      <c r="F22" s="399"/>
      <c r="G22" s="398" t="s">
        <v>3710</v>
      </c>
      <c r="H22" s="399"/>
      <c r="I22" s="398" t="s">
        <v>3710</v>
      </c>
      <c r="J22" s="399"/>
      <c r="K22" s="620"/>
      <c r="L22" s="2718"/>
      <c r="M22" s="2712"/>
      <c r="N22" s="2712"/>
      <c r="O22" s="2770"/>
      <c r="P22" s="3730"/>
      <c r="Q22" s="1350"/>
      <c r="R22" s="705"/>
      <c r="S22" s="706"/>
      <c r="T22" s="705"/>
      <c r="U22" s="706"/>
      <c r="V22" s="705"/>
      <c r="W22" s="706"/>
      <c r="X22" s="1353"/>
      <c r="Y22" s="3730"/>
      <c r="Z22" s="1354"/>
      <c r="AA22" s="1351">
        <v>1</v>
      </c>
      <c r="AB22" s="1351">
        <v>1</v>
      </c>
      <c r="AC22" s="1351">
        <v>1</v>
      </c>
    </row>
    <row r="23" spans="1:29" s="108" customFormat="1" ht="42.75">
      <c r="A23" s="597"/>
      <c r="B23" s="581" t="s">
        <v>1775</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3"/>
      <c r="M23" s="2714"/>
      <c r="N23" s="2714"/>
      <c r="O23" s="2768"/>
      <c r="P23" s="3730"/>
      <c r="Q23" s="1341" t="str">
        <f t="shared" si="8"/>
        <v>公共配套设施</v>
      </c>
      <c r="R23" s="701" t="s">
        <v>14</v>
      </c>
      <c r="S23" s="702">
        <f>F23</f>
        <v>100</v>
      </c>
      <c r="T23" s="701" t="s">
        <v>14</v>
      </c>
      <c r="U23" s="702">
        <f>H23</f>
        <v>100</v>
      </c>
      <c r="V23" s="701" t="s">
        <v>14</v>
      </c>
      <c r="W23" s="702">
        <f>J23</f>
        <v>100</v>
      </c>
      <c r="X23" s="703"/>
      <c r="Y23" s="3730"/>
      <c r="Z23" s="52" t="str">
        <f>Q23</f>
        <v>公共配套设施</v>
      </c>
      <c r="AA23" s="1351">
        <f>D23/F23</f>
        <v>1</v>
      </c>
      <c r="AB23" s="1351">
        <f>D23/H23</f>
        <v>1</v>
      </c>
      <c r="AC23" s="1351">
        <f>D23/J23</f>
        <v>1</v>
      </c>
    </row>
    <row r="24" spans="1:29" s="108" customFormat="1" ht="15">
      <c r="A24" s="597"/>
      <c r="B24" s="580"/>
      <c r="C24" s="1975" t="s">
        <v>3744</v>
      </c>
      <c r="D24" s="399"/>
      <c r="E24" s="1901" t="s">
        <v>3744</v>
      </c>
      <c r="F24" s="399"/>
      <c r="G24" s="1901" t="s">
        <v>3744</v>
      </c>
      <c r="H24" s="399"/>
      <c r="I24" s="398" t="s">
        <v>3744</v>
      </c>
      <c r="J24" s="399"/>
      <c r="K24" s="620"/>
      <c r="L24" s="2713"/>
      <c r="M24" s="2714"/>
      <c r="N24" s="2714"/>
      <c r="O24" s="2768"/>
      <c r="P24" s="3730"/>
      <c r="Q24" s="1341"/>
      <c r="R24" s="701"/>
      <c r="S24" s="702"/>
      <c r="T24" s="701"/>
      <c r="U24" s="702"/>
      <c r="V24" s="701"/>
      <c r="W24" s="702"/>
      <c r="X24" s="703"/>
      <c r="Y24" s="3730"/>
      <c r="Z24" s="52"/>
      <c r="AA24" s="704">
        <v>1</v>
      </c>
      <c r="AB24" s="704">
        <v>1</v>
      </c>
      <c r="AC24" s="704">
        <v>1</v>
      </c>
    </row>
    <row r="25" spans="1:29" s="108" customFormat="1" ht="28.5">
      <c r="A25" s="597"/>
      <c r="B25" s="581" t="s">
        <v>1776</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3"/>
      <c r="M25" s="2714"/>
      <c r="N25" s="2714"/>
      <c r="O25" s="2768"/>
      <c r="P25" s="3730"/>
      <c r="Q25" s="1341"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1">
        <f>D25/F25</f>
        <v>1</v>
      </c>
      <c r="AB25" s="1351">
        <f>D25/H25</f>
        <v>1</v>
      </c>
      <c r="AC25" s="1351">
        <f>D25/J25</f>
        <v>1</v>
      </c>
    </row>
    <row r="26" spans="1:29" s="108" customFormat="1" ht="15">
      <c r="A26" s="597"/>
      <c r="B26" s="580"/>
      <c r="C26" s="1975" t="s">
        <v>3746</v>
      </c>
      <c r="D26" s="399"/>
      <c r="E26" s="1975" t="s">
        <v>3746</v>
      </c>
      <c r="F26" s="399"/>
      <c r="G26" s="1975" t="s">
        <v>3746</v>
      </c>
      <c r="H26" s="399"/>
      <c r="I26" s="1975" t="s">
        <v>3746</v>
      </c>
      <c r="J26" s="399"/>
      <c r="K26" s="620"/>
      <c r="L26" s="2713"/>
      <c r="M26" s="2714"/>
      <c r="N26" s="2714"/>
      <c r="O26" s="2768"/>
      <c r="P26" s="3730"/>
      <c r="Q26" s="1341"/>
      <c r="R26" s="701"/>
      <c r="S26" s="702"/>
      <c r="T26" s="701"/>
      <c r="U26" s="702"/>
      <c r="V26" s="701"/>
      <c r="W26" s="702"/>
      <c r="X26" s="703"/>
      <c r="Y26" s="3730"/>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0"/>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30"/>
      <c r="Z27" s="1354" t="str">
        <f t="shared" ref="Z27:Z40" si="13">Q27</f>
        <v>临街状况</v>
      </c>
      <c r="AA27" s="1351">
        <f t="shared" si="3"/>
        <v>1</v>
      </c>
      <c r="AB27" s="1351">
        <f t="shared" si="4"/>
        <v>1</v>
      </c>
      <c r="AC27" s="1351">
        <f t="shared" si="5"/>
        <v>1</v>
      </c>
    </row>
    <row r="28" spans="1:29" ht="27">
      <c r="A28" s="379"/>
      <c r="B28" s="581" t="s">
        <v>1812</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0"/>
      <c r="Q28" s="1350" t="str">
        <f t="shared" si="8"/>
        <v>毗邻道路的类型与等级</v>
      </c>
      <c r="R28" s="705" t="s">
        <v>14</v>
      </c>
      <c r="S28" s="706">
        <f t="shared" si="10"/>
        <v>100</v>
      </c>
      <c r="T28" s="705" t="s">
        <v>14</v>
      </c>
      <c r="U28" s="706">
        <f t="shared" si="11"/>
        <v>100</v>
      </c>
      <c r="V28" s="705" t="s">
        <v>14</v>
      </c>
      <c r="W28" s="706">
        <f t="shared" si="12"/>
        <v>100</v>
      </c>
      <c r="X28" s="1353"/>
      <c r="Y28" s="3730"/>
      <c r="Z28" s="1354" t="str">
        <f t="shared" si="13"/>
        <v>毗邻道路的类型与等级</v>
      </c>
      <c r="AA28" s="1351">
        <f t="shared" si="3"/>
        <v>1</v>
      </c>
      <c r="AB28" s="1351">
        <f t="shared" si="4"/>
        <v>1</v>
      </c>
      <c r="AC28" s="1351">
        <f t="shared" si="5"/>
        <v>1</v>
      </c>
    </row>
    <row r="29" spans="1:29" ht="15">
      <c r="A29" s="379"/>
      <c r="B29" s="580"/>
      <c r="C29" s="398"/>
      <c r="D29" s="399"/>
      <c r="E29" s="1901"/>
      <c r="F29" s="399"/>
      <c r="G29" s="1901"/>
      <c r="H29" s="399"/>
      <c r="I29" s="1901"/>
      <c r="J29" s="399"/>
      <c r="K29" s="562"/>
      <c r="L29" s="2718"/>
      <c r="M29" s="2712"/>
      <c r="N29" s="2712"/>
      <c r="O29" s="2770"/>
      <c r="P29" s="3730"/>
      <c r="Q29" s="1350"/>
      <c r="R29" s="705"/>
      <c r="S29" s="706"/>
      <c r="T29" s="705"/>
      <c r="U29" s="706"/>
      <c r="V29" s="705"/>
      <c r="W29" s="706"/>
      <c r="X29" s="1353"/>
      <c r="Y29" s="3730"/>
      <c r="Z29" s="1354"/>
      <c r="AA29" s="1351">
        <v>1</v>
      </c>
      <c r="AB29" s="1351">
        <v>1</v>
      </c>
      <c r="AC29" s="1351">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0"/>
      <c r="Q30" s="1350" t="str">
        <f t="shared" si="8"/>
        <v>土地级别</v>
      </c>
      <c r="R30" s="705" t="s">
        <v>14</v>
      </c>
      <c r="S30" s="706">
        <f t="shared" si="10"/>
        <v>100</v>
      </c>
      <c r="T30" s="705" t="s">
        <v>14</v>
      </c>
      <c r="U30" s="706">
        <f t="shared" si="11"/>
        <v>100</v>
      </c>
      <c r="V30" s="705" t="s">
        <v>14</v>
      </c>
      <c r="W30" s="706">
        <f t="shared" si="12"/>
        <v>100</v>
      </c>
      <c r="X30" s="1353"/>
      <c r="Y30" s="3730"/>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0"/>
      <c r="Q31" s="1350">
        <f t="shared" si="8"/>
        <v>111</v>
      </c>
      <c r="R31" s="705" t="s">
        <v>14</v>
      </c>
      <c r="S31" s="706">
        <f t="shared" si="10"/>
        <v>100</v>
      </c>
      <c r="T31" s="705" t="s">
        <v>14</v>
      </c>
      <c r="U31" s="706">
        <f t="shared" si="11"/>
        <v>100</v>
      </c>
      <c r="V31" s="705" t="s">
        <v>14</v>
      </c>
      <c r="W31" s="706">
        <f t="shared" si="12"/>
        <v>100</v>
      </c>
      <c r="X31" s="1353"/>
      <c r="Y31" s="3730"/>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1" t="s">
        <v>1693</v>
      </c>
      <c r="Q32" s="1350">
        <f t="shared" si="8"/>
        <v>111</v>
      </c>
      <c r="R32" s="705" t="s">
        <v>14</v>
      </c>
      <c r="S32" s="706">
        <f t="shared" si="10"/>
        <v>100</v>
      </c>
      <c r="T32" s="705" t="s">
        <v>14</v>
      </c>
      <c r="U32" s="706">
        <f t="shared" si="11"/>
        <v>100</v>
      </c>
      <c r="V32" s="705" t="s">
        <v>14</v>
      </c>
      <c r="W32" s="706">
        <f t="shared" si="12"/>
        <v>100</v>
      </c>
      <c r="X32" s="1353"/>
      <c r="Y32" s="3732" t="s">
        <v>1693</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2"/>
      <c r="Q33" s="1350">
        <f t="shared" si="8"/>
        <v>111</v>
      </c>
      <c r="R33" s="708" t="s">
        <v>14</v>
      </c>
      <c r="S33" s="709">
        <f t="shared" si="10"/>
        <v>100</v>
      </c>
      <c r="T33" s="708" t="s">
        <v>14</v>
      </c>
      <c r="U33" s="709">
        <f t="shared" si="11"/>
        <v>100</v>
      </c>
      <c r="V33" s="708" t="s">
        <v>14</v>
      </c>
      <c r="W33" s="709">
        <f t="shared" si="12"/>
        <v>100</v>
      </c>
      <c r="X33" s="710"/>
      <c r="Y33" s="3732"/>
      <c r="Z33" s="711">
        <f t="shared" si="13"/>
        <v>111</v>
      </c>
      <c r="AA33" s="1351">
        <f t="shared" si="3"/>
        <v>1</v>
      </c>
      <c r="AB33" s="1351">
        <f t="shared" si="4"/>
        <v>1</v>
      </c>
      <c r="AC33" s="1351">
        <f t="shared" si="5"/>
        <v>1</v>
      </c>
    </row>
    <row r="34" spans="1:31" ht="15">
      <c r="A34" s="391" t="s">
        <v>1691</v>
      </c>
      <c r="B34" s="3517" t="s">
        <v>1871</v>
      </c>
      <c r="C34" s="627">
        <v>242044.6</v>
      </c>
      <c r="D34" s="418">
        <v>100</v>
      </c>
      <c r="E34" s="627">
        <f>土地案例!F3</f>
        <v>75400</v>
      </c>
      <c r="F34" s="418">
        <f>LOOKUP(E34,108:108,109:109)-LOOKUP(C34,108:108,109:109)+100</f>
        <v>103</v>
      </c>
      <c r="G34" s="627">
        <f>土地案例!F5</f>
        <v>42666.7</v>
      </c>
      <c r="H34" s="418">
        <f>LOOKUP(G34,108:108,109:109)-LOOKUP(C34,108:108,109:109)+100</f>
        <v>102</v>
      </c>
      <c r="I34" s="479">
        <f>土地案例!F10</f>
        <v>26758.5</v>
      </c>
      <c r="J34" s="418">
        <f>LOOKUP(I34,108:108,109:109)-LOOKUP(C34,108:108,109:109)+100</f>
        <v>102</v>
      </c>
      <c r="K34" s="562"/>
      <c r="L34" s="2718"/>
      <c r="M34" s="2712"/>
      <c r="N34" s="2712"/>
      <c r="O34" s="2770"/>
      <c r="P34" s="3732"/>
      <c r="Q34" s="1350" t="str">
        <f>B34</f>
        <v>宗地面积</v>
      </c>
      <c r="R34" s="705" t="s">
        <v>14</v>
      </c>
      <c r="S34" s="706">
        <f t="shared" si="10"/>
        <v>103</v>
      </c>
      <c r="T34" s="705" t="s">
        <v>14</v>
      </c>
      <c r="U34" s="706">
        <f t="shared" si="11"/>
        <v>102</v>
      </c>
      <c r="V34" s="705" t="s">
        <v>14</v>
      </c>
      <c r="W34" s="706">
        <f t="shared" si="12"/>
        <v>102</v>
      </c>
      <c r="X34" s="1353"/>
      <c r="Y34" s="3732"/>
      <c r="Z34" s="1354" t="str">
        <f t="shared" si="13"/>
        <v>宗地面积</v>
      </c>
      <c r="AA34" s="1351">
        <f t="shared" si="3"/>
        <v>0.970873786407767</v>
      </c>
      <c r="AB34" s="1351">
        <f t="shared" si="4"/>
        <v>0.98039215686274506</v>
      </c>
      <c r="AC34" s="1351">
        <f t="shared" si="5"/>
        <v>0.98039215686274506</v>
      </c>
    </row>
    <row r="35" spans="1:31" ht="15">
      <c r="A35" s="423"/>
      <c r="B35" s="375" t="s">
        <v>1872</v>
      </c>
      <c r="C35" s="1903" t="s">
        <v>3708</v>
      </c>
      <c r="D35" s="386">
        <v>100</v>
      </c>
      <c r="E35" s="1903" t="s">
        <v>3708</v>
      </c>
      <c r="F35" s="386">
        <f>SUMIF(110:110,E35,111:111)-SUMIF(110:110,C35,111:111)+100</f>
        <v>100</v>
      </c>
      <c r="G35" s="1903" t="s">
        <v>3708</v>
      </c>
      <c r="H35" s="386">
        <f>SUMIF(110:110,G35,111:111)-SUMIF(110:110,C35,111:111)+100</f>
        <v>100</v>
      </c>
      <c r="I35" s="1903" t="s">
        <v>3708</v>
      </c>
      <c r="J35" s="386">
        <f>SUMIF(110:110,I35,111:111)-SUMIF(110:110,C35,111:111)+100</f>
        <v>100</v>
      </c>
      <c r="K35" s="561">
        <v>1</v>
      </c>
      <c r="L35" s="2718"/>
      <c r="M35" s="2712"/>
      <c r="N35" s="2712"/>
      <c r="O35" s="2770"/>
      <c r="P35" s="3732"/>
      <c r="Q35" s="1350" t="str">
        <f t="shared" ref="Q35:Q40" si="14">B35</f>
        <v>宗地形状</v>
      </c>
      <c r="R35" s="705" t="s">
        <v>14</v>
      </c>
      <c r="S35" s="706">
        <f t="shared" si="10"/>
        <v>100</v>
      </c>
      <c r="T35" s="705" t="s">
        <v>14</v>
      </c>
      <c r="U35" s="706">
        <f t="shared" si="11"/>
        <v>100</v>
      </c>
      <c r="V35" s="705" t="s">
        <v>14</v>
      </c>
      <c r="W35" s="706">
        <f t="shared" si="12"/>
        <v>100</v>
      </c>
      <c r="X35" s="1353"/>
      <c r="Y35" s="3732"/>
      <c r="Z35" s="1354" t="str">
        <f t="shared" si="13"/>
        <v>宗地形状</v>
      </c>
      <c r="AA35" s="1351">
        <f t="shared" si="3"/>
        <v>1</v>
      </c>
      <c r="AB35" s="1351">
        <f t="shared" si="4"/>
        <v>1</v>
      </c>
      <c r="AC35" s="1351">
        <f t="shared" si="5"/>
        <v>1</v>
      </c>
    </row>
    <row r="36" spans="1:31" s="108" customFormat="1" ht="15">
      <c r="A36" s="424"/>
      <c r="B36" s="375" t="s">
        <v>1874</v>
      </c>
      <c r="C36" s="1977" t="s">
        <v>3787</v>
      </c>
      <c r="D36" s="127">
        <v>100</v>
      </c>
      <c r="E36" s="1977" t="s">
        <v>3712</v>
      </c>
      <c r="F36" s="386">
        <f>SUMIF(112:112,E36,113:113)-SUMIF(112:112,C36,113:113)+100</f>
        <v>100</v>
      </c>
      <c r="G36" s="1977" t="s">
        <v>3712</v>
      </c>
      <c r="H36" s="386">
        <f>SUMIF(112:112,G36,113:113)-SUMIF(112:112,C36,113:113)+100</f>
        <v>100</v>
      </c>
      <c r="I36" s="1977" t="s">
        <v>3712</v>
      </c>
      <c r="J36" s="386">
        <f>SUMIF(112:112,I36,113:113)-SUMIF(112:112,C36,113:113)+100</f>
        <v>100</v>
      </c>
      <c r="K36" s="561">
        <v>0</v>
      </c>
      <c r="L36" s="2713"/>
      <c r="M36" s="2714"/>
      <c r="N36" s="2714"/>
      <c r="O36" s="2768"/>
      <c r="P36" s="3732"/>
      <c r="Q36" s="1350"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1875</v>
      </c>
      <c r="C37" s="1903" t="s">
        <v>3710</v>
      </c>
      <c r="D37" s="386">
        <v>100</v>
      </c>
      <c r="E37" s="1903" t="s">
        <v>3710</v>
      </c>
      <c r="F37" s="386">
        <f>SUMIF(114:114,E37,115:115)-SUMIF(114:114,C37,115:115)+100</f>
        <v>100</v>
      </c>
      <c r="G37" s="1903" t="s">
        <v>3710</v>
      </c>
      <c r="H37" s="386">
        <f>SUMIF(114:114,G37,115:115)-SUMIF(114:114,C37,115:115)+100</f>
        <v>100</v>
      </c>
      <c r="I37" s="1903" t="s">
        <v>3710</v>
      </c>
      <c r="J37" s="386">
        <f>SUMIF(114:114,I37,115:115)-SUMIF(114:114,C37,115:115)+100</f>
        <v>100</v>
      </c>
      <c r="K37" s="561">
        <v>1</v>
      </c>
      <c r="L37" s="2718"/>
      <c r="M37" s="2712"/>
      <c r="N37" s="2712"/>
      <c r="O37" s="2770"/>
      <c r="P37" s="3732" t="s">
        <v>1693</v>
      </c>
      <c r="Q37" s="1350" t="str">
        <f t="shared" si="14"/>
        <v>工程地质条件</v>
      </c>
      <c r="R37" s="705" t="s">
        <v>14</v>
      </c>
      <c r="S37" s="706">
        <f t="shared" si="10"/>
        <v>100</v>
      </c>
      <c r="T37" s="705" t="s">
        <v>14</v>
      </c>
      <c r="U37" s="706">
        <f t="shared" si="11"/>
        <v>100</v>
      </c>
      <c r="V37" s="705" t="s">
        <v>14</v>
      </c>
      <c r="W37" s="706">
        <f t="shared" si="12"/>
        <v>100</v>
      </c>
      <c r="X37" s="1353"/>
      <c r="Y37" s="3732" t="s">
        <v>1693</v>
      </c>
      <c r="Z37" s="1354" t="str">
        <f t="shared" si="13"/>
        <v>工程地质条件</v>
      </c>
      <c r="AA37" s="1351">
        <f t="shared" si="3"/>
        <v>1</v>
      </c>
      <c r="AB37" s="1351">
        <f t="shared" si="4"/>
        <v>1</v>
      </c>
      <c r="AC37" s="1351">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2"/>
      <c r="Q38" s="1350">
        <f t="shared" si="14"/>
        <v>111</v>
      </c>
      <c r="R38" s="705" t="s">
        <v>14</v>
      </c>
      <c r="S38" s="706">
        <f t="shared" si="10"/>
        <v>100</v>
      </c>
      <c r="T38" s="705" t="s">
        <v>14</v>
      </c>
      <c r="U38" s="706">
        <f t="shared" si="11"/>
        <v>100</v>
      </c>
      <c r="V38" s="705" t="s">
        <v>14</v>
      </c>
      <c r="W38" s="706">
        <f t="shared" si="12"/>
        <v>100</v>
      </c>
      <c r="X38" s="1353"/>
      <c r="Y38" s="3732"/>
      <c r="Z38" s="1354">
        <f t="shared" si="13"/>
        <v>111</v>
      </c>
      <c r="AA38" s="1351">
        <f t="shared" si="3"/>
        <v>1</v>
      </c>
      <c r="AB38" s="1351">
        <f t="shared" si="4"/>
        <v>1</v>
      </c>
      <c r="AC38" s="1351">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2"/>
      <c r="Q39" s="1350">
        <f t="shared" si="14"/>
        <v>111</v>
      </c>
      <c r="R39" s="705" t="s">
        <v>14</v>
      </c>
      <c r="S39" s="706">
        <f t="shared" si="10"/>
        <v>100</v>
      </c>
      <c r="T39" s="705" t="s">
        <v>14</v>
      </c>
      <c r="U39" s="706">
        <f t="shared" si="11"/>
        <v>100</v>
      </c>
      <c r="V39" s="705" t="s">
        <v>14</v>
      </c>
      <c r="W39" s="706">
        <f t="shared" si="12"/>
        <v>100</v>
      </c>
      <c r="X39" s="1353"/>
      <c r="Y39" s="3732"/>
      <c r="Z39" s="1354">
        <f t="shared" si="13"/>
        <v>111</v>
      </c>
      <c r="AA39" s="1351">
        <f t="shared" si="3"/>
        <v>1</v>
      </c>
      <c r="AB39" s="1351">
        <f t="shared" si="4"/>
        <v>1</v>
      </c>
      <c r="AC39" s="1351">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2"/>
      <c r="Q40" s="1350">
        <f t="shared" si="14"/>
        <v>111</v>
      </c>
      <c r="R40" s="708" t="s">
        <v>14</v>
      </c>
      <c r="S40" s="709">
        <f t="shared" si="10"/>
        <v>100</v>
      </c>
      <c r="T40" s="708" t="s">
        <v>14</v>
      </c>
      <c r="U40" s="709">
        <f t="shared" si="11"/>
        <v>100</v>
      </c>
      <c r="V40" s="708" t="s">
        <v>14</v>
      </c>
      <c r="W40" s="709">
        <f t="shared" si="12"/>
        <v>100</v>
      </c>
      <c r="X40" s="710"/>
      <c r="Y40" s="3732"/>
      <c r="Z40" s="711">
        <f t="shared" si="13"/>
        <v>111</v>
      </c>
      <c r="AA40" s="1351">
        <f t="shared" si="3"/>
        <v>1</v>
      </c>
      <c r="AB40" s="1351">
        <f t="shared" si="4"/>
        <v>1</v>
      </c>
      <c r="AC40" s="1351">
        <f t="shared" si="5"/>
        <v>1</v>
      </c>
    </row>
    <row r="41" spans="1:31" ht="15">
      <c r="A41" s="430" t="s">
        <v>1841</v>
      </c>
      <c r="B41" s="1979" t="s">
        <v>3821</v>
      </c>
      <c r="C41" s="630" t="s">
        <v>0</v>
      </c>
      <c r="D41" s="432"/>
      <c r="E41" s="433">
        <f>ROUND(土地案例!S3,0)</f>
        <v>849</v>
      </c>
      <c r="F41" s="434"/>
      <c r="G41" s="435">
        <f>ROUND(土地案例!S5,0)</f>
        <v>839</v>
      </c>
      <c r="H41" s="436"/>
      <c r="I41" s="433">
        <f>ROUND(土地案例!S10,0)</f>
        <v>828</v>
      </c>
      <c r="J41" s="436"/>
      <c r="K41" s="714"/>
      <c r="L41" s="2720"/>
      <c r="M41" s="2712"/>
      <c r="N41" s="2712"/>
      <c r="O41" s="2721"/>
      <c r="P41" s="3728" t="str">
        <f>A41</f>
        <v>成交单价</v>
      </c>
      <c r="Q41" s="3728"/>
      <c r="R41" s="3733">
        <f>E41</f>
        <v>849</v>
      </c>
      <c r="S41" s="3733"/>
      <c r="T41" s="3733">
        <f>G41</f>
        <v>839</v>
      </c>
      <c r="U41" s="3733"/>
      <c r="V41" s="3733">
        <f>I41</f>
        <v>828</v>
      </c>
      <c r="W41" s="3733"/>
      <c r="X41" s="690"/>
      <c r="Y41" s="712"/>
      <c r="Z41" s="690"/>
      <c r="AA41" s="690"/>
      <c r="AB41" s="690"/>
      <c r="AC41" s="690"/>
    </row>
    <row r="42" spans="1:31" ht="15.75" thickBot="1">
      <c r="A42" s="437" t="s">
        <v>1790</v>
      </c>
      <c r="B42" s="631"/>
      <c r="C42" s="440">
        <f>R43</f>
        <v>803</v>
      </c>
      <c r="D42" s="2314" t="s">
        <v>2134</v>
      </c>
      <c r="E42" s="440">
        <f>R42</f>
        <v>808</v>
      </c>
      <c r="F42" s="2315"/>
      <c r="G42" s="439">
        <f>T42</f>
        <v>806</v>
      </c>
      <c r="H42" s="2315"/>
      <c r="I42" s="440">
        <f>V42</f>
        <v>796</v>
      </c>
      <c r="J42" s="2315"/>
      <c r="K42" s="2317">
        <f>F42+H42+J42</f>
        <v>0</v>
      </c>
      <c r="L42" s="2720"/>
      <c r="M42" s="2712"/>
      <c r="N42" s="2712"/>
      <c r="O42" s="2721"/>
      <c r="P42" s="3728" t="str">
        <f>A42</f>
        <v>比较价值（元/平方米）</v>
      </c>
      <c r="Q42" s="3728"/>
      <c r="R42" s="3721">
        <f>ROUND(PRODUCT(R41,AA7:AA40),0)</f>
        <v>808</v>
      </c>
      <c r="S42" s="3721"/>
      <c r="T42" s="3721">
        <f>ROUND(PRODUCT(T41,AB7:AB40),0)</f>
        <v>806</v>
      </c>
      <c r="U42" s="3721"/>
      <c r="V42" s="3721">
        <f>ROUND(PRODUCT(V41,AC7:AC40),0)</f>
        <v>796</v>
      </c>
      <c r="W42" s="3721"/>
      <c r="X42" s="690"/>
      <c r="Y42" s="690"/>
      <c r="Z42" s="690"/>
      <c r="AA42" s="690"/>
      <c r="AB42" s="690"/>
      <c r="AC42" s="690"/>
    </row>
    <row r="43" spans="1:31" ht="15.75" thickBot="1">
      <c r="A43" s="441" t="s">
        <v>1791</v>
      </c>
      <c r="B43" s="442"/>
      <c r="C43" s="443">
        <f>R43</f>
        <v>803</v>
      </c>
      <c r="D43" s="443"/>
      <c r="E43" s="443"/>
      <c r="F43" s="443"/>
      <c r="G43" s="443"/>
      <c r="H43" s="443"/>
      <c r="I43" s="443"/>
      <c r="J43" s="443"/>
      <c r="K43" s="715"/>
      <c r="L43" s="2720"/>
      <c r="M43" s="2712"/>
      <c r="N43" s="2712"/>
      <c r="O43" s="2721"/>
      <c r="P43" s="3722" t="str">
        <f>A43</f>
        <v>估价对象XX用房的比较价值（楼面单价，元/平方米）</v>
      </c>
      <c r="Q43" s="3723"/>
      <c r="R43" s="3724">
        <f>ROUND(IF(D42="简单平均",AVERAGE(R42:W42),R42*F42+T42*H42+V42*J42),0)</f>
        <v>803</v>
      </c>
      <c r="S43" s="3724"/>
      <c r="T43" s="3724"/>
      <c r="U43" s="3724"/>
      <c r="V43" s="3724"/>
      <c r="W43" s="3724"/>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f>IF(E41&lt;E42,E42/E41-1,E41/E42-1)</f>
        <v>5.0742574257425677E-2</v>
      </c>
      <c r="F46" s="449" t="str">
        <f>IF(OR(E46&gt;=0.3,E46&lt;=-0.3),"超过30%","")</f>
        <v/>
      </c>
      <c r="G46" s="448">
        <f>IF(G41&lt;G42,G42/G41-1,G41/G42-1)</f>
        <v>4.0942928039702231E-2</v>
      </c>
      <c r="H46" s="449" t="str">
        <f>IF(OR(G46&gt;=0.3,G46&lt;=-0.3),"超过30%","")</f>
        <v/>
      </c>
      <c r="I46" s="448">
        <f>IF(I41&lt;I42,I42/I41-1,I41/I42-1)</f>
        <v>4.020100502512558E-2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f>IF(E42&lt;G42,G42/E42-1,E42/G42-1)</f>
        <v>2.4813895781636841E-3</v>
      </c>
      <c r="F47" s="449" t="str">
        <f>IF(OR(E47&gt;=0.2,E47&lt;=-0.2),"超过20%","")</f>
        <v/>
      </c>
      <c r="G47" s="448">
        <f>IF(G42&lt;I42,I42/G42-1,G42/I42-1)</f>
        <v>1.2562814070351758E-2</v>
      </c>
      <c r="H47" s="449" t="str">
        <f>IF(OR(G47&gt;=0.2,G47&lt;=-0.2),"超过20%","")</f>
        <v/>
      </c>
      <c r="I47" s="448">
        <f>IF(I42&lt;E42,E42/I42-1,I42/E42-1)</f>
        <v>1.5075376884422065E-2</v>
      </c>
      <c r="J47" s="449" t="str">
        <f>IF(OR(I47&gt;=0.2,I47&lt;=-0.2),"超过20%","")</f>
        <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f>IF(E41&lt;G41,G41/E41-1,E41/G41-1)</f>
        <v>1.1918951132300348E-2</v>
      </c>
      <c r="F48" s="449" t="str">
        <f>IF(OR(E48&gt;=0.3,E48&lt;=-0.3),"超过30%","")</f>
        <v/>
      </c>
      <c r="G48" s="448">
        <f>IF(G41&lt;I41,I41/G41-1,G41/I41-1)</f>
        <v>1.3285024154589431E-2</v>
      </c>
      <c r="H48" s="449" t="str">
        <f>IF(OR(G48&gt;=0.3,G48&lt;=-0.3),"超过30%","")</f>
        <v/>
      </c>
      <c r="I48" s="448">
        <f>IF(I41&lt;E41,E41/I41-1,I41/E41-1)</f>
        <v>2.5362318840579601E-2</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1878</v>
      </c>
      <c r="B50" s="633" t="s">
        <v>1879</v>
      </c>
      <c r="C50" s="1980" t="s">
        <v>1880</v>
      </c>
      <c r="D50" s="1981" t="s">
        <v>1881</v>
      </c>
      <c r="E50" s="634" t="s">
        <v>1882</v>
      </c>
      <c r="F50" s="635" t="s">
        <v>1883</v>
      </c>
      <c r="G50" s="3725" t="s">
        <v>1884</v>
      </c>
      <c r="H50" s="3726"/>
      <c r="I50" s="1354" t="s">
        <v>1919</v>
      </c>
      <c r="J50" s="1354" t="str">
        <f>项目基本情况!F35</f>
        <v>天津市</v>
      </c>
      <c r="K50" s="1983"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1887</v>
      </c>
      <c r="B51" s="637">
        <f>C43</f>
        <v>803</v>
      </c>
      <c r="C51" s="638">
        <v>1</v>
      </c>
      <c r="D51" s="944">
        <v>1</v>
      </c>
      <c r="E51" s="638">
        <f>'数据-汇总表'!E8+'数据-汇总表'!E9</f>
        <v>270063.75999999995</v>
      </c>
      <c r="F51" s="639">
        <f t="shared" ref="F51:F60" si="15">ROUND(B51*E51/10000,0)</f>
        <v>21686</v>
      </c>
      <c r="G51" s="3727"/>
      <c r="H51" s="3728"/>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1888</v>
      </c>
      <c r="B52" s="218">
        <f>ROUND($C$43*C52*D52,0)</f>
        <v>0</v>
      </c>
      <c r="C52" s="171">
        <f t="shared" ref="C52:C60" si="16">IF($C$50="北京市系数",I52,J52)</f>
        <v>0</v>
      </c>
      <c r="D52" s="945">
        <v>0.25</v>
      </c>
      <c r="E52" s="642"/>
      <c r="F52" s="639">
        <f t="shared" si="15"/>
        <v>0</v>
      </c>
      <c r="G52" s="3002" t="s">
        <v>1889</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1890</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1891</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1892</v>
      </c>
      <c r="B56" s="218">
        <f t="shared" si="17"/>
        <v>0</v>
      </c>
      <c r="C56" s="171">
        <f t="shared" si="16"/>
        <v>0</v>
      </c>
      <c r="D56" s="945">
        <v>0.25</v>
      </c>
      <c r="E56" s="217">
        <f>'数据-汇总表'!E11</f>
        <v>0</v>
      </c>
      <c r="F56" s="639">
        <f t="shared" si="15"/>
        <v>0</v>
      </c>
      <c r="G56" s="1984" t="s">
        <v>1893</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1894</v>
      </c>
      <c r="B57" s="218">
        <f t="shared" si="17"/>
        <v>0</v>
      </c>
      <c r="C57" s="171">
        <f t="shared" si="16"/>
        <v>0</v>
      </c>
      <c r="D57" s="945">
        <v>0.25</v>
      </c>
      <c r="E57" s="217">
        <f>'数据-汇总表'!E12</f>
        <v>0</v>
      </c>
      <c r="F57" s="639">
        <f t="shared" si="15"/>
        <v>0</v>
      </c>
      <c r="G57" s="892" t="s">
        <v>1895</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1896</v>
      </c>
      <c r="B58" s="218">
        <f t="shared" si="17"/>
        <v>0</v>
      </c>
      <c r="C58" s="171">
        <f t="shared" si="16"/>
        <v>0</v>
      </c>
      <c r="D58" s="945">
        <v>0.25</v>
      </c>
      <c r="E58" s="217">
        <f>'数据-汇总表'!E13</f>
        <v>0</v>
      </c>
      <c r="F58" s="639">
        <f t="shared" si="15"/>
        <v>0</v>
      </c>
      <c r="G58" s="892" t="s">
        <v>1897</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1898</v>
      </c>
      <c r="B59" s="218">
        <f t="shared" si="17"/>
        <v>0</v>
      </c>
      <c r="C59" s="171">
        <f t="shared" si="16"/>
        <v>0</v>
      </c>
      <c r="D59" s="945">
        <v>0.25</v>
      </c>
      <c r="E59" s="217">
        <f>'数据-汇总表'!E14</f>
        <v>0</v>
      </c>
      <c r="F59" s="639">
        <f t="shared" si="15"/>
        <v>0</v>
      </c>
      <c r="G59" s="1984" t="s">
        <v>1889</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1899</v>
      </c>
      <c r="B60" s="218">
        <f t="shared" si="17"/>
        <v>0</v>
      </c>
      <c r="C60" s="171">
        <f t="shared" si="16"/>
        <v>0</v>
      </c>
      <c r="D60" s="945">
        <v>0.25</v>
      </c>
      <c r="E60" s="217">
        <f>'数据-汇总表'!E15</f>
        <v>0</v>
      </c>
      <c r="F60" s="639">
        <f t="shared" si="15"/>
        <v>0</v>
      </c>
      <c r="G60" s="1985" t="s">
        <v>1893</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1900</v>
      </c>
      <c r="B61" s="644" t="s">
        <v>22</v>
      </c>
      <c r="C61" s="644" t="s">
        <v>23</v>
      </c>
      <c r="D61" s="644" t="s">
        <v>392</v>
      </c>
      <c r="E61" s="644">
        <f>IF(B41="楼面地价",SUM(E51:E60),'数据-汇总表'!D3)</f>
        <v>242044.6</v>
      </c>
      <c r="F61" s="645">
        <f>IF(B41="楼面地价",SUM(F51:F60),ROUND(C43*E61/10000,0))</f>
        <v>19436</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1"/>
      <c r="Q63" s="2721"/>
      <c r="R63" s="2721"/>
      <c r="S63" s="2721"/>
      <c r="T63" s="2721"/>
      <c r="U63" s="2721"/>
      <c r="V63" s="2721"/>
      <c r="W63" s="2721"/>
      <c r="X63" s="2721"/>
      <c r="Y63" s="2721"/>
      <c r="Z63" s="2721"/>
      <c r="AA63" s="2721"/>
      <c r="AB63" s="2721"/>
      <c r="AC63" s="2721"/>
      <c r="AD63" s="2721"/>
      <c r="AE63" s="2721"/>
    </row>
    <row r="64" spans="1:31" ht="21.75" thickBot="1">
      <c r="A64" s="694" t="s">
        <v>1795</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1901</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1920</v>
      </c>
      <c r="B66" s="288" t="str">
        <f>"北京市平均增长率"&amp;TEXT(基准地价修正!P28,"0.00%")</f>
        <v>北京市平均增长率0.00%</v>
      </c>
      <c r="C66" s="552">
        <v>100</v>
      </c>
      <c r="D66" s="544">
        <f>C66-$C$67</f>
        <v>100</v>
      </c>
      <c r="E66" s="544">
        <f t="shared" ref="E66:O66" si="20">D66-$C$67</f>
        <v>100</v>
      </c>
      <c r="F66" s="544">
        <f t="shared" si="20"/>
        <v>100</v>
      </c>
      <c r="G66" s="544">
        <f t="shared" si="20"/>
        <v>100</v>
      </c>
      <c r="H66" s="544">
        <f t="shared" si="20"/>
        <v>100</v>
      </c>
      <c r="I66" s="544">
        <f t="shared" si="20"/>
        <v>100</v>
      </c>
      <c r="J66" s="544">
        <f t="shared" si="20"/>
        <v>100</v>
      </c>
      <c r="K66" s="544">
        <f t="shared" si="20"/>
        <v>100</v>
      </c>
      <c r="L66" s="544">
        <f t="shared" si="20"/>
        <v>100</v>
      </c>
      <c r="M66" s="544">
        <f t="shared" si="20"/>
        <v>100</v>
      </c>
      <c r="N66" s="544">
        <f t="shared" si="20"/>
        <v>100</v>
      </c>
      <c r="O66" s="544">
        <f t="shared" si="20"/>
        <v>100</v>
      </c>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3889">
        <v>0</v>
      </c>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82" t="s">
        <v>3718</v>
      </c>
      <c r="D70" s="3482" t="s">
        <v>3719</v>
      </c>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v>100</v>
      </c>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0（含）-0.8-2</v>
      </c>
      <c r="D74" s="496" t="str">
        <f t="shared" ref="D74:L74" si="21">D75&amp;"（含）"&amp;"-"&amp;E75</f>
        <v>0.8-2（含）-3</v>
      </c>
      <c r="E74" s="496" t="str">
        <f t="shared" si="21"/>
        <v>3（含）-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t="s">
        <v>3811</v>
      </c>
      <c r="E75" s="498">
        <v>3</v>
      </c>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0(含)-20000</v>
      </c>
      <c r="D107" s="478" t="str">
        <f t="shared" si="26"/>
        <v>20000(含)-50000</v>
      </c>
      <c r="E107" s="478" t="str">
        <f t="shared" si="26"/>
        <v>50000(含)-100000</v>
      </c>
      <c r="F107" s="478" t="str">
        <f t="shared" si="26"/>
        <v>100000(含)-150000</v>
      </c>
      <c r="G107" s="478" t="str">
        <f t="shared" si="26"/>
        <v>150000(含)-200000</v>
      </c>
      <c r="H107" s="478" t="str">
        <f t="shared" si="26"/>
        <v>200000(含)-250000</v>
      </c>
      <c r="I107" s="478" t="str">
        <f t="shared" si="26"/>
        <v>250000(含)-</v>
      </c>
      <c r="J107" s="478" t="str">
        <f t="shared" si="26"/>
        <v>(含)-</v>
      </c>
      <c r="K107" s="1331" t="str">
        <f t="shared" si="26"/>
        <v>(含)-</v>
      </c>
      <c r="L107" s="1331" t="str">
        <f t="shared" si="26"/>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20000</v>
      </c>
      <c r="E108" s="544">
        <v>50000</v>
      </c>
      <c r="F108" s="544">
        <v>100000</v>
      </c>
      <c r="G108" s="544">
        <v>150000</v>
      </c>
      <c r="H108" s="544">
        <v>200000</v>
      </c>
      <c r="I108" s="544">
        <v>250000</v>
      </c>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98</v>
      </c>
      <c r="D109" s="540">
        <v>99</v>
      </c>
      <c r="E109" s="540">
        <v>100</v>
      </c>
      <c r="F109" s="540">
        <v>99</v>
      </c>
      <c r="G109" s="540">
        <v>98</v>
      </c>
      <c r="H109" s="540">
        <v>97</v>
      </c>
      <c r="I109" s="540">
        <v>96</v>
      </c>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3483" t="s">
        <v>3709</v>
      </c>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3484" t="s">
        <v>3713</v>
      </c>
      <c r="D112" s="3484" t="s">
        <v>3788</v>
      </c>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3484" t="s">
        <v>3711</v>
      </c>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48" priority="18" stopIfTrue="1" operator="containsText" text="超过">
      <formula>NOT(ISERROR(SEARCH("超过",F46)))</formula>
    </cfRule>
  </conditionalFormatting>
  <conditionalFormatting sqref="J48">
    <cfRule type="containsText" dxfId="147" priority="17" stopIfTrue="1" operator="containsText" text="超过">
      <formula>NOT(ISERROR(SEARCH("超过",J48)))</formula>
    </cfRule>
  </conditionalFormatting>
  <conditionalFormatting sqref="H48">
    <cfRule type="containsText" dxfId="146" priority="16" stopIfTrue="1" operator="containsText" text="超过">
      <formula>NOT(ISERROR(SEARCH("超过",H48)))</formula>
    </cfRule>
  </conditionalFormatting>
  <conditionalFormatting sqref="F48">
    <cfRule type="containsText" dxfId="145" priority="15" stopIfTrue="1" operator="containsText" text="超过">
      <formula>NOT(ISERROR(SEARCH("超过",F48)))</formula>
    </cfRule>
  </conditionalFormatting>
  <conditionalFormatting sqref="F47 H47 J47">
    <cfRule type="containsText" dxfId="144" priority="14" stopIfTrue="1" operator="containsText" text="超过">
      <formula>NOT(ISERROR(SEARCH("超过",F47)))</formula>
    </cfRule>
  </conditionalFormatting>
  <conditionalFormatting sqref="E46">
    <cfRule type="expression" dxfId="143" priority="13" stopIfTrue="1">
      <formula>$F$46="超过30%"</formula>
    </cfRule>
  </conditionalFormatting>
  <conditionalFormatting sqref="G48">
    <cfRule type="expression" dxfId="142" priority="12" stopIfTrue="1">
      <formula>$H$48="超过30%"</formula>
    </cfRule>
  </conditionalFormatting>
  <conditionalFormatting sqref="E48">
    <cfRule type="expression" dxfId="141" priority="10" stopIfTrue="1">
      <formula>$F$48="超过30%"</formula>
    </cfRule>
  </conditionalFormatting>
  <conditionalFormatting sqref="G46">
    <cfRule type="expression" dxfId="140" priority="9" stopIfTrue="1">
      <formula>$H$46="超过30%"</formula>
    </cfRule>
  </conditionalFormatting>
  <conditionalFormatting sqref="G47">
    <cfRule type="expression" dxfId="139" priority="8" stopIfTrue="1">
      <formula>$H$47="超过20%"</formula>
    </cfRule>
  </conditionalFormatting>
  <conditionalFormatting sqref="I46">
    <cfRule type="expression" dxfId="138" priority="7" stopIfTrue="1">
      <formula>$J$46="超过30%"</formula>
    </cfRule>
  </conditionalFormatting>
  <conditionalFormatting sqref="I47">
    <cfRule type="expression" dxfId="137" priority="6" stopIfTrue="1">
      <formula>$J$47="超过20%"</formula>
    </cfRule>
  </conditionalFormatting>
  <conditionalFormatting sqref="I48">
    <cfRule type="expression" dxfId="136" priority="5" stopIfTrue="1">
      <formula>$J$48="超过30%"</formula>
    </cfRule>
  </conditionalFormatting>
  <conditionalFormatting sqref="E47">
    <cfRule type="expression" dxfId="135" priority="53" stopIfTrue="1">
      <formula>#REF!+$F$47="超过20%"</formula>
    </cfRule>
  </conditionalFormatting>
  <conditionalFormatting sqref="F42">
    <cfRule type="expression" dxfId="134" priority="4">
      <formula>$D$42="简单平均"</formula>
    </cfRule>
  </conditionalFormatting>
  <conditionalFormatting sqref="H42">
    <cfRule type="expression" dxfId="133" priority="3">
      <formula>$D$42="简单平均"</formula>
    </cfRule>
  </conditionalFormatting>
  <conditionalFormatting sqref="J42">
    <cfRule type="expression" dxfId="132" priority="2">
      <formula>$D$42="简单平均"</formula>
    </cfRule>
  </conditionalFormatting>
  <conditionalFormatting sqref="F7:F40 H7:H40 J7:J40">
    <cfRule type="cellIs" dxfId="1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
  <sheetViews>
    <sheetView workbookViewId="0">
      <pane ySplit="1" topLeftCell="A2" activePane="bottomLeft" state="frozen"/>
      <selection pane="bottomLeft" activeCell="S3" sqref="S3"/>
    </sheetView>
  </sheetViews>
  <sheetFormatPr defaultColWidth="11.25" defaultRowHeight="12"/>
  <cols>
    <col min="1" max="1" width="22.625" style="3474" customWidth="1"/>
    <col min="2" max="2" width="0" style="3474" hidden="1" customWidth="1"/>
    <col min="3" max="3" width="7.25" style="3474" customWidth="1"/>
    <col min="4" max="4" width="0" style="3474" hidden="1" customWidth="1"/>
    <col min="5" max="5" width="11.25" style="3474"/>
    <col min="6" max="6" width="9.875" style="3474" customWidth="1"/>
    <col min="7" max="7" width="8" style="3474" customWidth="1"/>
    <col min="8" max="8" width="5" style="3474" customWidth="1"/>
    <col min="9" max="9" width="9.125" style="3474" customWidth="1"/>
    <col min="10" max="10" width="0" style="3474" hidden="1" customWidth="1"/>
    <col min="11" max="11" width="7.375" style="3474" customWidth="1"/>
    <col min="12" max="12" width="10.125" style="3474" customWidth="1"/>
    <col min="13" max="14" width="0" style="3474" hidden="1" customWidth="1"/>
    <col min="15" max="15" width="11.25" style="3474"/>
    <col min="16" max="16" width="0" style="3474" hidden="1" customWidth="1"/>
    <col min="17" max="17" width="11.25" style="3474"/>
    <col min="18" max="18" width="6.375" style="3474" customWidth="1"/>
    <col min="19" max="20" width="9.125" style="3474" customWidth="1"/>
    <col min="21" max="21" width="9.375" style="3474" customWidth="1"/>
    <col min="22" max="22" width="6.375" style="3474" customWidth="1"/>
    <col min="23" max="23" width="10.125" style="3474" customWidth="1"/>
    <col min="24" max="16384" width="11.25" style="3474"/>
  </cols>
  <sheetData>
    <row r="1" spans="1:23" s="3478" customFormat="1" ht="24">
      <c r="A1" s="3478" t="s">
        <v>3489</v>
      </c>
      <c r="B1" s="3478" t="s">
        <v>3490</v>
      </c>
      <c r="C1" s="3478" t="s">
        <v>3491</v>
      </c>
      <c r="D1" s="3478" t="s">
        <v>3492</v>
      </c>
      <c r="E1" s="3478" t="s">
        <v>3493</v>
      </c>
      <c r="F1" s="3478" t="s">
        <v>3494</v>
      </c>
      <c r="G1" s="3478" t="s">
        <v>3495</v>
      </c>
      <c r="H1" s="3478" t="s">
        <v>3496</v>
      </c>
      <c r="I1" s="3478" t="s">
        <v>3497</v>
      </c>
      <c r="J1" s="3478" t="s">
        <v>3498</v>
      </c>
      <c r="K1" s="3478" t="s">
        <v>3499</v>
      </c>
      <c r="L1" s="3478" t="s">
        <v>3463</v>
      </c>
      <c r="M1" s="3478" t="s">
        <v>3500</v>
      </c>
      <c r="N1" s="3478" t="s">
        <v>3501</v>
      </c>
      <c r="O1" s="3478" t="s">
        <v>3502</v>
      </c>
      <c r="P1" s="3478" t="s">
        <v>3503</v>
      </c>
      <c r="Q1" s="3478" t="s">
        <v>3504</v>
      </c>
      <c r="R1" s="3478" t="s">
        <v>3505</v>
      </c>
      <c r="S1" s="3478" t="s">
        <v>3506</v>
      </c>
      <c r="T1" s="3478" t="s">
        <v>3507</v>
      </c>
      <c r="U1" s="3478" t="s">
        <v>3508</v>
      </c>
      <c r="V1" s="3478" t="s">
        <v>3509</v>
      </c>
    </row>
    <row r="2" spans="1:23" hidden="1">
      <c r="A2" s="3474" t="s">
        <v>3510</v>
      </c>
      <c r="B2" s="3474" t="s">
        <v>3384</v>
      </c>
      <c r="C2" s="3474" t="s">
        <v>3511</v>
      </c>
      <c r="D2" s="3474" t="s">
        <v>3512</v>
      </c>
      <c r="E2" s="3474" t="s">
        <v>3513</v>
      </c>
      <c r="F2" s="3474">
        <v>13366</v>
      </c>
      <c r="G2" s="3474">
        <v>26732</v>
      </c>
      <c r="H2" s="3474" t="s">
        <v>3514</v>
      </c>
      <c r="I2" s="3474" t="s">
        <v>3515</v>
      </c>
      <c r="J2" s="3474" t="s">
        <v>3516</v>
      </c>
      <c r="K2" s="3474" t="s">
        <v>3517</v>
      </c>
      <c r="L2" s="3474" t="s">
        <v>3518</v>
      </c>
      <c r="M2" s="3474" t="s">
        <v>3519</v>
      </c>
      <c r="N2" s="3474" t="s">
        <v>3520</v>
      </c>
      <c r="O2" s="3475">
        <v>45499.000497685185</v>
      </c>
      <c r="P2" s="3474" t="s">
        <v>3521</v>
      </c>
      <c r="Q2" s="3474" t="s">
        <v>3522</v>
      </c>
      <c r="R2" s="3474">
        <v>1100</v>
      </c>
      <c r="S2" s="3474">
        <v>822.98</v>
      </c>
      <c r="T2" s="3474">
        <v>54.87</v>
      </c>
      <c r="U2" s="3474">
        <v>411</v>
      </c>
      <c r="V2" s="3474">
        <v>0</v>
      </c>
    </row>
    <row r="3" spans="1:23" s="3479" customFormat="1">
      <c r="A3" s="3479" t="s">
        <v>3523</v>
      </c>
      <c r="B3" s="3479" t="s">
        <v>3384</v>
      </c>
      <c r="C3" s="3479" t="s">
        <v>3511</v>
      </c>
      <c r="D3" s="3479" t="s">
        <v>3512</v>
      </c>
      <c r="E3" s="3479" t="s">
        <v>3524</v>
      </c>
      <c r="F3" s="3479">
        <v>75400</v>
      </c>
      <c r="G3" s="3479">
        <v>150800</v>
      </c>
      <c r="H3" s="3479" t="s">
        <v>3514</v>
      </c>
      <c r="I3" s="3479" t="s">
        <v>3515</v>
      </c>
      <c r="J3" s="3479" t="s">
        <v>3516</v>
      </c>
      <c r="K3" s="3479" t="s">
        <v>3517</v>
      </c>
      <c r="L3" s="3479" t="s">
        <v>3809</v>
      </c>
      <c r="M3" s="3479" t="s">
        <v>3519</v>
      </c>
      <c r="N3" s="3479" t="s">
        <v>3520</v>
      </c>
      <c r="O3" s="3480">
        <v>45499.000497685185</v>
      </c>
      <c r="P3" s="3479" t="s">
        <v>3521</v>
      </c>
      <c r="Q3" s="3479" t="s">
        <v>3525</v>
      </c>
      <c r="R3" s="3479">
        <v>6400</v>
      </c>
      <c r="S3" s="3479">
        <v>848.8</v>
      </c>
      <c r="T3" s="3479">
        <v>56.59</v>
      </c>
      <c r="U3" s="3479">
        <v>424</v>
      </c>
      <c r="V3" s="3479">
        <v>0</v>
      </c>
      <c r="W3" s="3479" t="s">
        <v>3701</v>
      </c>
    </row>
    <row r="4" spans="1:23" hidden="1">
      <c r="A4" s="3474" t="s">
        <v>3526</v>
      </c>
      <c r="B4" s="3474" t="s">
        <v>3384</v>
      </c>
      <c r="C4" s="3474" t="s">
        <v>3511</v>
      </c>
      <c r="D4" s="3474" t="s">
        <v>3512</v>
      </c>
      <c r="E4" s="3474" t="s">
        <v>3527</v>
      </c>
      <c r="F4" s="3474">
        <v>501577</v>
      </c>
      <c r="G4" s="3474">
        <v>1003154</v>
      </c>
      <c r="H4" s="3474" t="s">
        <v>3514</v>
      </c>
      <c r="I4" s="3474" t="s">
        <v>3528</v>
      </c>
      <c r="J4" s="3474" t="s">
        <v>3516</v>
      </c>
      <c r="K4" s="3474">
        <v>50</v>
      </c>
      <c r="L4" s="3474" t="s">
        <v>3529</v>
      </c>
      <c r="M4" s="3474" t="s">
        <v>3519</v>
      </c>
      <c r="N4" s="3474" t="s">
        <v>3520</v>
      </c>
      <c r="O4" s="3475">
        <v>45471.000497685185</v>
      </c>
      <c r="P4" s="3474" t="s">
        <v>3521</v>
      </c>
      <c r="Q4" s="3474" t="s">
        <v>3530</v>
      </c>
      <c r="R4" s="3474">
        <v>26500</v>
      </c>
      <c r="S4" s="3474">
        <v>528.33000000000004</v>
      </c>
      <c r="T4" s="3474">
        <v>35.22</v>
      </c>
      <c r="U4" s="3474">
        <v>264</v>
      </c>
      <c r="V4" s="3474">
        <v>0</v>
      </c>
    </row>
    <row r="5" spans="1:23" s="3479" customFormat="1">
      <c r="A5" s="3479" t="s">
        <v>3702</v>
      </c>
      <c r="B5" s="3479" t="s">
        <v>3384</v>
      </c>
      <c r="C5" s="3479" t="s">
        <v>3511</v>
      </c>
      <c r="D5" s="3479" t="s">
        <v>3512</v>
      </c>
      <c r="E5" s="3479" t="s">
        <v>3703</v>
      </c>
      <c r="F5" s="3479">
        <v>42666.7</v>
      </c>
      <c r="G5" s="3479">
        <v>85333.4</v>
      </c>
      <c r="H5" s="3479" t="s">
        <v>3514</v>
      </c>
      <c r="I5" s="3479" t="s">
        <v>3528</v>
      </c>
      <c r="J5" s="3479" t="s">
        <v>3516</v>
      </c>
      <c r="K5" s="3479">
        <v>50</v>
      </c>
      <c r="L5" s="3479" t="s">
        <v>3531</v>
      </c>
      <c r="M5" s="3479" t="s">
        <v>3519</v>
      </c>
      <c r="N5" s="3479" t="s">
        <v>3520</v>
      </c>
      <c r="O5" s="3480">
        <v>45320.000497685185</v>
      </c>
      <c r="P5" s="3479" t="s">
        <v>3521</v>
      </c>
      <c r="Q5" s="3479" t="s">
        <v>3532</v>
      </c>
      <c r="R5" s="3479">
        <v>3580</v>
      </c>
      <c r="S5" s="3479">
        <v>839.06</v>
      </c>
      <c r="T5" s="3479">
        <v>55.94</v>
      </c>
      <c r="U5" s="3479">
        <v>420</v>
      </c>
      <c r="V5" s="3479">
        <v>0</v>
      </c>
      <c r="W5" s="3479" t="s">
        <v>3706</v>
      </c>
    </row>
    <row r="6" spans="1:23" hidden="1">
      <c r="A6" s="3474" t="s">
        <v>3533</v>
      </c>
      <c r="B6" s="3474" t="s">
        <v>3384</v>
      </c>
      <c r="C6" s="3474" t="s">
        <v>3511</v>
      </c>
      <c r="D6" s="3474" t="s">
        <v>3512</v>
      </c>
      <c r="E6" s="3474" t="s">
        <v>3534</v>
      </c>
      <c r="F6" s="3474">
        <v>44912.1</v>
      </c>
      <c r="G6" s="3474">
        <v>112280</v>
      </c>
      <c r="H6" s="3474" t="s">
        <v>3514</v>
      </c>
      <c r="I6" s="3474" t="s">
        <v>3528</v>
      </c>
      <c r="J6" s="3474" t="s">
        <v>3516</v>
      </c>
      <c r="K6" s="3474">
        <v>50</v>
      </c>
      <c r="L6" s="3474" t="s">
        <v>3535</v>
      </c>
      <c r="M6" s="3474" t="s">
        <v>3519</v>
      </c>
      <c r="N6" s="3474" t="s">
        <v>3520</v>
      </c>
      <c r="O6" s="3475">
        <v>45320.000497685185</v>
      </c>
      <c r="P6" s="3474" t="s">
        <v>3521</v>
      </c>
      <c r="Q6" s="3474" t="s">
        <v>3536</v>
      </c>
      <c r="R6" s="3474">
        <v>3627</v>
      </c>
      <c r="S6" s="3474">
        <v>807.57</v>
      </c>
      <c r="T6" s="3474">
        <v>53.84</v>
      </c>
      <c r="U6" s="3474">
        <v>323</v>
      </c>
      <c r="V6" s="3474">
        <v>0</v>
      </c>
    </row>
    <row r="7" spans="1:23" hidden="1">
      <c r="A7" s="3474" t="s">
        <v>3537</v>
      </c>
      <c r="B7" s="3474" t="s">
        <v>3384</v>
      </c>
      <c r="C7" s="3474" t="s">
        <v>3511</v>
      </c>
      <c r="D7" s="3474" t="s">
        <v>3512</v>
      </c>
      <c r="E7" s="3474" t="s">
        <v>3538</v>
      </c>
      <c r="F7" s="3474">
        <v>33333.300000000003</v>
      </c>
      <c r="G7" s="3474">
        <v>66666.600000000006</v>
      </c>
      <c r="H7" s="3474" t="s">
        <v>3514</v>
      </c>
      <c r="I7" s="3474" t="s">
        <v>3528</v>
      </c>
      <c r="J7" s="3474" t="s">
        <v>3516</v>
      </c>
      <c r="K7" s="3474">
        <v>50</v>
      </c>
      <c r="L7" s="3474" t="s">
        <v>3531</v>
      </c>
      <c r="M7" s="3474" t="s">
        <v>3519</v>
      </c>
      <c r="N7" s="3474" t="s">
        <v>3520</v>
      </c>
      <c r="O7" s="3475">
        <v>45317.000497685185</v>
      </c>
      <c r="P7" s="3474" t="s">
        <v>3521</v>
      </c>
      <c r="Q7" s="3474" t="s">
        <v>3539</v>
      </c>
      <c r="R7" s="3474">
        <v>2780</v>
      </c>
      <c r="S7" s="3474">
        <v>834</v>
      </c>
      <c r="T7" s="3474">
        <v>55.6</v>
      </c>
      <c r="U7" s="3474">
        <v>417</v>
      </c>
      <c r="V7" s="3474">
        <v>0</v>
      </c>
    </row>
    <row r="8" spans="1:23" hidden="1">
      <c r="A8" s="3474" t="s">
        <v>3540</v>
      </c>
      <c r="B8" s="3474" t="s">
        <v>3384</v>
      </c>
      <c r="C8" s="3474" t="s">
        <v>3511</v>
      </c>
      <c r="D8" s="3474" t="s">
        <v>3512</v>
      </c>
      <c r="E8" s="3474" t="s">
        <v>3541</v>
      </c>
      <c r="F8" s="3474">
        <v>5893.8</v>
      </c>
      <c r="G8" s="3474">
        <v>7072.56</v>
      </c>
      <c r="H8" s="3474" t="s">
        <v>3514</v>
      </c>
      <c r="I8" s="3474" t="s">
        <v>3528</v>
      </c>
      <c r="J8" s="3474" t="s">
        <v>3516</v>
      </c>
      <c r="K8" s="3474">
        <v>50</v>
      </c>
      <c r="L8" s="3474" t="s">
        <v>3542</v>
      </c>
      <c r="M8" s="3474" t="s">
        <v>3519</v>
      </c>
      <c r="N8" s="3474" t="s">
        <v>3520</v>
      </c>
      <c r="O8" s="3475">
        <v>45317.000497685185</v>
      </c>
      <c r="P8" s="3474" t="s">
        <v>3521</v>
      </c>
      <c r="Q8" s="3474" t="s">
        <v>3543</v>
      </c>
      <c r="R8" s="3474">
        <v>724</v>
      </c>
      <c r="S8" s="3474">
        <v>1228.4000000000001</v>
      </c>
      <c r="T8" s="3474">
        <v>81.89</v>
      </c>
      <c r="U8" s="3474">
        <v>1024</v>
      </c>
      <c r="V8" s="3474">
        <v>0</v>
      </c>
    </row>
    <row r="9" spans="1:23" hidden="1">
      <c r="A9" s="3474" t="s">
        <v>3544</v>
      </c>
      <c r="B9" s="3474" t="s">
        <v>3384</v>
      </c>
      <c r="C9" s="3474" t="s">
        <v>3511</v>
      </c>
      <c r="D9" s="3474" t="s">
        <v>3512</v>
      </c>
      <c r="E9" s="3474" t="s">
        <v>3545</v>
      </c>
      <c r="F9" s="3474">
        <v>175235.20000000001</v>
      </c>
      <c r="G9" s="3474">
        <v>350470.40000000002</v>
      </c>
      <c r="H9" s="3474" t="s">
        <v>3514</v>
      </c>
      <c r="I9" s="3474" t="s">
        <v>3546</v>
      </c>
      <c r="J9" s="3474" t="s">
        <v>3547</v>
      </c>
      <c r="K9" s="3474">
        <v>50</v>
      </c>
      <c r="L9" s="3474" t="s">
        <v>3548</v>
      </c>
      <c r="M9" s="3474" t="s">
        <v>3519</v>
      </c>
      <c r="N9" s="3474" t="s">
        <v>3520</v>
      </c>
      <c r="O9" s="3475">
        <v>45042.000497685185</v>
      </c>
      <c r="P9" s="3474" t="s">
        <v>3521</v>
      </c>
      <c r="Q9" s="3474" t="s">
        <v>3549</v>
      </c>
      <c r="R9" s="3474">
        <v>16140</v>
      </c>
      <c r="S9" s="3474">
        <v>921.04</v>
      </c>
      <c r="T9" s="3474">
        <v>61.4</v>
      </c>
      <c r="U9" s="3474">
        <v>461</v>
      </c>
      <c r="V9" s="3474">
        <v>0</v>
      </c>
    </row>
    <row r="10" spans="1:23" s="3479" customFormat="1">
      <c r="A10" s="3479" t="s">
        <v>3704</v>
      </c>
      <c r="B10" s="3479" t="s">
        <v>3384</v>
      </c>
      <c r="C10" s="3479" t="s">
        <v>3511</v>
      </c>
      <c r="D10" s="3479" t="s">
        <v>3512</v>
      </c>
      <c r="E10" s="3479" t="s">
        <v>3550</v>
      </c>
      <c r="F10" s="3479">
        <v>26758.5</v>
      </c>
      <c r="G10" s="3479">
        <v>53517</v>
      </c>
      <c r="H10" s="3479" t="s">
        <v>3514</v>
      </c>
      <c r="I10" s="3479" t="s">
        <v>3528</v>
      </c>
      <c r="J10" s="3479" t="s">
        <v>3516</v>
      </c>
      <c r="K10" s="3479">
        <v>50</v>
      </c>
      <c r="L10" s="3479" t="s">
        <v>3551</v>
      </c>
      <c r="M10" s="3479" t="s">
        <v>3519</v>
      </c>
      <c r="N10" s="3479" t="s">
        <v>3520</v>
      </c>
      <c r="O10" s="3480">
        <v>45042.000497685185</v>
      </c>
      <c r="P10" s="3479" t="s">
        <v>3521</v>
      </c>
      <c r="Q10" s="3479" t="s">
        <v>3552</v>
      </c>
      <c r="R10" s="3479">
        <v>2216</v>
      </c>
      <c r="S10" s="3479">
        <v>828.14</v>
      </c>
      <c r="T10" s="3479">
        <v>55.21</v>
      </c>
      <c r="U10" s="3479">
        <v>414</v>
      </c>
      <c r="V10" s="3479">
        <v>0</v>
      </c>
      <c r="W10" s="3479" t="s">
        <v>3705</v>
      </c>
    </row>
    <row r="11" spans="1:23" hidden="1">
      <c r="A11" s="3474" t="s">
        <v>3553</v>
      </c>
      <c r="B11" s="3474" t="s">
        <v>3384</v>
      </c>
      <c r="C11" s="3474" t="s">
        <v>3511</v>
      </c>
      <c r="D11" s="3474" t="s">
        <v>3512</v>
      </c>
      <c r="E11" s="3474" t="s">
        <v>3554</v>
      </c>
      <c r="F11" s="3474">
        <v>23826.1</v>
      </c>
      <c r="G11" s="3474">
        <v>47652.2</v>
      </c>
      <c r="H11" s="3474" t="s">
        <v>3514</v>
      </c>
      <c r="I11" s="3474" t="s">
        <v>3528</v>
      </c>
      <c r="J11" s="3474" t="s">
        <v>3516</v>
      </c>
      <c r="K11" s="3474">
        <v>50</v>
      </c>
      <c r="L11" s="3474" t="s">
        <v>3551</v>
      </c>
      <c r="M11" s="3474" t="s">
        <v>3519</v>
      </c>
      <c r="N11" s="3474" t="s">
        <v>3520</v>
      </c>
      <c r="O11" s="3475">
        <v>45042.000497685185</v>
      </c>
      <c r="P11" s="3474" t="s">
        <v>3521</v>
      </c>
      <c r="Q11" s="3474" t="s">
        <v>3555</v>
      </c>
      <c r="R11" s="3474">
        <v>1983</v>
      </c>
      <c r="S11" s="3474">
        <v>832.28</v>
      </c>
      <c r="T11" s="3474">
        <v>55.49</v>
      </c>
      <c r="U11" s="3474">
        <v>416</v>
      </c>
      <c r="V11" s="3474">
        <v>0</v>
      </c>
    </row>
    <row r="12" spans="1:23" hidden="1">
      <c r="A12" s="3474" t="s">
        <v>3556</v>
      </c>
      <c r="B12" s="3474" t="s">
        <v>3384</v>
      </c>
      <c r="C12" s="3474" t="s">
        <v>3511</v>
      </c>
      <c r="D12" s="3474" t="s">
        <v>3512</v>
      </c>
      <c r="E12" s="3474" t="s">
        <v>3557</v>
      </c>
      <c r="F12" s="3474">
        <v>26401</v>
      </c>
      <c r="G12" s="3474">
        <v>52802</v>
      </c>
      <c r="H12" s="3474" t="s">
        <v>3514</v>
      </c>
      <c r="I12" s="3474" t="s">
        <v>3528</v>
      </c>
      <c r="J12" s="3474" t="s">
        <v>3516</v>
      </c>
      <c r="K12" s="3474" t="s">
        <v>3517</v>
      </c>
      <c r="L12" s="3474" t="s">
        <v>3551</v>
      </c>
      <c r="M12" s="3474" t="s">
        <v>3519</v>
      </c>
      <c r="N12" s="3474" t="s">
        <v>3520</v>
      </c>
      <c r="O12" s="3475">
        <v>44974.000497685185</v>
      </c>
      <c r="P12" s="3474" t="s">
        <v>3521</v>
      </c>
      <c r="Q12" s="3474" t="s">
        <v>3558</v>
      </c>
      <c r="R12" s="3474">
        <v>2233</v>
      </c>
      <c r="S12" s="3474">
        <v>845.8</v>
      </c>
      <c r="T12" s="3474">
        <v>56.39</v>
      </c>
      <c r="U12" s="3474">
        <v>423</v>
      </c>
      <c r="V12" s="3474">
        <v>0</v>
      </c>
    </row>
    <row r="13" spans="1:23" hidden="1">
      <c r="A13" s="3474" t="s">
        <v>3559</v>
      </c>
      <c r="B13" s="3474" t="s">
        <v>3384</v>
      </c>
      <c r="C13" s="3474" t="s">
        <v>3511</v>
      </c>
      <c r="D13" s="3474" t="s">
        <v>3512</v>
      </c>
      <c r="E13" s="3474" t="s">
        <v>3560</v>
      </c>
      <c r="F13" s="3474">
        <v>40000.1</v>
      </c>
      <c r="G13" s="3474">
        <v>80000.2</v>
      </c>
      <c r="H13" s="3474" t="s">
        <v>3514</v>
      </c>
      <c r="I13" s="3474" t="s">
        <v>3528</v>
      </c>
      <c r="J13" s="3474" t="s">
        <v>3516</v>
      </c>
      <c r="K13" s="3474" t="s">
        <v>3517</v>
      </c>
      <c r="L13" s="3474" t="s">
        <v>3551</v>
      </c>
      <c r="M13" s="3474" t="s">
        <v>3519</v>
      </c>
      <c r="N13" s="3474" t="s">
        <v>3520</v>
      </c>
      <c r="O13" s="3475">
        <v>44974.000497685185</v>
      </c>
      <c r="P13" s="3474" t="s">
        <v>3521</v>
      </c>
      <c r="Q13" s="3474" t="s">
        <v>3561</v>
      </c>
      <c r="R13" s="3474">
        <v>3325</v>
      </c>
      <c r="S13" s="3474">
        <v>831.24</v>
      </c>
      <c r="T13" s="3474">
        <v>55.42</v>
      </c>
      <c r="U13" s="3474">
        <v>416</v>
      </c>
      <c r="V13" s="3474">
        <v>0</v>
      </c>
    </row>
    <row r="14" spans="1:23" hidden="1">
      <c r="A14" s="3474" t="s">
        <v>3562</v>
      </c>
      <c r="B14" s="3474" t="s">
        <v>3384</v>
      </c>
      <c r="C14" s="3474" t="s">
        <v>3511</v>
      </c>
      <c r="D14" s="3474" t="s">
        <v>3512</v>
      </c>
      <c r="E14" s="3474" t="s">
        <v>3563</v>
      </c>
      <c r="F14" s="3474">
        <v>56588.4</v>
      </c>
      <c r="G14" s="3474">
        <v>113176.8</v>
      </c>
      <c r="H14" s="3474" t="s">
        <v>3514</v>
      </c>
      <c r="I14" s="3474" t="s">
        <v>3528</v>
      </c>
      <c r="J14" s="3474" t="s">
        <v>3516</v>
      </c>
      <c r="K14" s="3474" t="s">
        <v>3517</v>
      </c>
      <c r="L14" s="3474" t="s">
        <v>3551</v>
      </c>
      <c r="M14" s="3474" t="s">
        <v>3519</v>
      </c>
      <c r="N14" s="3474" t="s">
        <v>3520</v>
      </c>
      <c r="O14" s="3475">
        <v>44929.000497685185</v>
      </c>
      <c r="P14" s="3474" t="s">
        <v>3521</v>
      </c>
      <c r="Q14" s="3474" t="s">
        <v>3564</v>
      </c>
      <c r="R14" s="3474">
        <v>5567</v>
      </c>
      <c r="S14" s="3474">
        <v>983.77</v>
      </c>
      <c r="T14" s="3474">
        <v>65.58</v>
      </c>
      <c r="U14" s="3474">
        <v>492</v>
      </c>
      <c r="V14" s="3474">
        <v>0</v>
      </c>
    </row>
    <row r="15" spans="1:23" hidden="1">
      <c r="A15" s="3474" t="s">
        <v>3565</v>
      </c>
      <c r="B15" s="3474" t="s">
        <v>3384</v>
      </c>
      <c r="C15" s="3474" t="s">
        <v>3511</v>
      </c>
      <c r="D15" s="3474" t="s">
        <v>3512</v>
      </c>
      <c r="E15" s="3474" t="s">
        <v>3566</v>
      </c>
      <c r="F15" s="3474">
        <v>41051.5</v>
      </c>
      <c r="G15" s="3474">
        <v>82103</v>
      </c>
      <c r="H15" s="3474" t="s">
        <v>3514</v>
      </c>
      <c r="I15" s="3474" t="s">
        <v>3528</v>
      </c>
      <c r="J15" s="3474" t="s">
        <v>3516</v>
      </c>
      <c r="K15" s="3474" t="s">
        <v>3517</v>
      </c>
      <c r="L15" s="3474" t="s">
        <v>3551</v>
      </c>
      <c r="M15" s="3474" t="s">
        <v>3519</v>
      </c>
      <c r="N15" s="3474" t="s">
        <v>3520</v>
      </c>
      <c r="O15" s="3475">
        <v>44778.000497685185</v>
      </c>
      <c r="P15" s="3474" t="s">
        <v>3521</v>
      </c>
      <c r="Q15" s="3474" t="s">
        <v>3567</v>
      </c>
      <c r="R15" s="3474">
        <v>3781</v>
      </c>
      <c r="S15" s="3474">
        <v>921.03</v>
      </c>
      <c r="T15" s="3474">
        <v>61.4</v>
      </c>
      <c r="U15" s="3474">
        <v>461</v>
      </c>
      <c r="V15" s="3474">
        <v>0</v>
      </c>
    </row>
    <row r="16" spans="1:23" hidden="1">
      <c r="A16" s="3474" t="s">
        <v>3568</v>
      </c>
      <c r="B16" s="3474" t="s">
        <v>3384</v>
      </c>
      <c r="C16" s="3474" t="s">
        <v>3511</v>
      </c>
      <c r="D16" s="3474" t="s">
        <v>3512</v>
      </c>
      <c r="E16" s="3474" t="s">
        <v>3569</v>
      </c>
      <c r="F16" s="3474">
        <v>36512.6</v>
      </c>
      <c r="G16" s="3474">
        <v>54768.9</v>
      </c>
      <c r="H16" s="3474" t="s">
        <v>3514</v>
      </c>
      <c r="I16" s="3474" t="s">
        <v>3528</v>
      </c>
      <c r="J16" s="3474" t="s">
        <v>3516</v>
      </c>
      <c r="K16" s="3474" t="s">
        <v>3517</v>
      </c>
      <c r="L16" s="3474" t="s">
        <v>3570</v>
      </c>
      <c r="M16" s="3474" t="s">
        <v>3519</v>
      </c>
      <c r="N16" s="3474" t="s">
        <v>3520</v>
      </c>
      <c r="O16" s="3475">
        <v>44762.000497685185</v>
      </c>
      <c r="P16" s="3474" t="s">
        <v>3521</v>
      </c>
      <c r="Q16" s="3474" t="s">
        <v>3571</v>
      </c>
      <c r="R16" s="3474">
        <v>2465</v>
      </c>
      <c r="S16" s="3474">
        <v>675.1</v>
      </c>
      <c r="T16" s="3474">
        <v>45.01</v>
      </c>
      <c r="U16" s="3474">
        <v>450</v>
      </c>
      <c r="V16" s="3474">
        <v>0</v>
      </c>
    </row>
    <row r="17" spans="1:22" hidden="1">
      <c r="A17" s="3474" t="s">
        <v>3572</v>
      </c>
      <c r="B17" s="3474" t="s">
        <v>3384</v>
      </c>
      <c r="C17" s="3474" t="s">
        <v>3511</v>
      </c>
      <c r="D17" s="3474" t="s">
        <v>3512</v>
      </c>
      <c r="E17" s="3474" t="s">
        <v>3573</v>
      </c>
      <c r="F17" s="3474">
        <v>27526.9</v>
      </c>
      <c r="G17" s="3474">
        <v>55053.8</v>
      </c>
      <c r="H17" s="3474" t="s">
        <v>3514</v>
      </c>
      <c r="I17" s="3474" t="s">
        <v>3514</v>
      </c>
      <c r="J17" s="3474" t="s">
        <v>3574</v>
      </c>
      <c r="K17" s="3474">
        <v>50</v>
      </c>
      <c r="L17" s="3474" t="s">
        <v>3575</v>
      </c>
      <c r="M17" s="3474" t="s">
        <v>3519</v>
      </c>
      <c r="N17" s="3474" t="s">
        <v>3520</v>
      </c>
      <c r="O17" s="3475">
        <v>44441.000497685185</v>
      </c>
      <c r="P17" s="3474" t="s">
        <v>3521</v>
      </c>
      <c r="Q17" s="3474" t="s">
        <v>3576</v>
      </c>
      <c r="R17" s="3474">
        <v>2131</v>
      </c>
      <c r="S17" s="3474">
        <v>774.15</v>
      </c>
      <c r="T17" s="3474">
        <v>51.61</v>
      </c>
      <c r="U17" s="3474">
        <v>387</v>
      </c>
      <c r="V17" s="3474">
        <v>0</v>
      </c>
    </row>
    <row r="18" spans="1:22" hidden="1">
      <c r="A18" s="3474" t="s">
        <v>3577</v>
      </c>
      <c r="B18" s="3474" t="s">
        <v>3384</v>
      </c>
      <c r="C18" s="3474" t="s">
        <v>3511</v>
      </c>
      <c r="D18" s="3474" t="s">
        <v>3512</v>
      </c>
      <c r="E18" s="3474" t="s">
        <v>3578</v>
      </c>
      <c r="F18" s="3474">
        <v>35424.5</v>
      </c>
      <c r="G18" s="3474">
        <v>53136.75</v>
      </c>
      <c r="H18" s="3474" t="s">
        <v>3514</v>
      </c>
      <c r="I18" s="3474" t="s">
        <v>3528</v>
      </c>
      <c r="J18" s="3474" t="s">
        <v>3516</v>
      </c>
      <c r="K18" s="3474" t="s">
        <v>3517</v>
      </c>
      <c r="L18" s="3474" t="s">
        <v>3579</v>
      </c>
      <c r="M18" s="3474" t="s">
        <v>3519</v>
      </c>
      <c r="N18" s="3474" t="s">
        <v>3520</v>
      </c>
      <c r="O18" s="3475">
        <v>44413.000497685185</v>
      </c>
      <c r="P18" s="3474" t="s">
        <v>3521</v>
      </c>
      <c r="Q18" s="3474" t="s">
        <v>3580</v>
      </c>
      <c r="R18" s="3474">
        <v>2874</v>
      </c>
      <c r="S18" s="3474">
        <v>811.3</v>
      </c>
      <c r="T18" s="3474">
        <v>54.09</v>
      </c>
      <c r="U18" s="3474">
        <v>541</v>
      </c>
      <c r="V18" s="3474">
        <v>0</v>
      </c>
    </row>
    <row r="19" spans="1:22" hidden="1">
      <c r="A19" s="3474" t="s">
        <v>3581</v>
      </c>
      <c r="B19" s="3474" t="s">
        <v>3384</v>
      </c>
      <c r="C19" s="3474" t="s">
        <v>3511</v>
      </c>
      <c r="D19" s="3474" t="s">
        <v>3512</v>
      </c>
      <c r="E19" s="3474" t="s">
        <v>3582</v>
      </c>
      <c r="F19" s="3474">
        <v>191376.6</v>
      </c>
      <c r="G19" s="3474">
        <v>382753.2</v>
      </c>
      <c r="H19" s="3474" t="s">
        <v>3514</v>
      </c>
      <c r="I19" s="3474" t="s">
        <v>3514</v>
      </c>
      <c r="J19" s="3474" t="s">
        <v>3574</v>
      </c>
      <c r="K19" s="3474" t="s">
        <v>3517</v>
      </c>
      <c r="L19" s="3474" t="s">
        <v>3548</v>
      </c>
      <c r="M19" s="3474" t="s">
        <v>3519</v>
      </c>
      <c r="N19" s="3474" t="s">
        <v>3520</v>
      </c>
      <c r="O19" s="3475">
        <v>44400.000497685185</v>
      </c>
      <c r="P19" s="3474" t="s">
        <v>3521</v>
      </c>
      <c r="Q19" s="3474" t="s">
        <v>3583</v>
      </c>
      <c r="R19" s="3474">
        <v>18778</v>
      </c>
      <c r="S19" s="3474">
        <v>981.2</v>
      </c>
      <c r="T19" s="3474">
        <v>65.41</v>
      </c>
      <c r="U19" s="3474">
        <v>491</v>
      </c>
      <c r="V19" s="3474">
        <v>0</v>
      </c>
    </row>
    <row r="20" spans="1:22" hidden="1">
      <c r="A20" s="3474" t="s">
        <v>3584</v>
      </c>
      <c r="B20" s="3474" t="s">
        <v>3384</v>
      </c>
      <c r="C20" s="3474" t="s">
        <v>3511</v>
      </c>
      <c r="D20" s="3474" t="s">
        <v>3512</v>
      </c>
      <c r="E20" s="3474" t="s">
        <v>3585</v>
      </c>
      <c r="F20" s="3474">
        <v>123218.6</v>
      </c>
      <c r="G20" s="3474">
        <v>184827.9</v>
      </c>
      <c r="H20" s="3474" t="s">
        <v>3514</v>
      </c>
      <c r="I20" s="3474" t="s">
        <v>3514</v>
      </c>
      <c r="J20" s="3474" t="s">
        <v>3574</v>
      </c>
      <c r="K20" s="3474" t="s">
        <v>3517</v>
      </c>
      <c r="L20" s="3474" t="s">
        <v>3579</v>
      </c>
      <c r="M20" s="3474" t="s">
        <v>3519</v>
      </c>
      <c r="N20" s="3474" t="s">
        <v>3520</v>
      </c>
      <c r="O20" s="3475">
        <v>44400.000497685185</v>
      </c>
      <c r="P20" s="3474" t="s">
        <v>3521</v>
      </c>
      <c r="Q20" s="3474" t="s">
        <v>3586</v>
      </c>
      <c r="R20" s="3474">
        <v>7652</v>
      </c>
      <c r="S20" s="3474">
        <v>621.01</v>
      </c>
      <c r="T20" s="3474">
        <v>41.4</v>
      </c>
      <c r="U20" s="3474">
        <v>414</v>
      </c>
      <c r="V20" s="3474">
        <v>0</v>
      </c>
    </row>
    <row r="21" spans="1:22" hidden="1">
      <c r="A21" s="3474" t="s">
        <v>3587</v>
      </c>
      <c r="B21" s="3474" t="s">
        <v>3384</v>
      </c>
      <c r="C21" s="3474" t="s">
        <v>3511</v>
      </c>
      <c r="D21" s="3474" t="s">
        <v>3512</v>
      </c>
      <c r="E21" s="3474" t="s">
        <v>3588</v>
      </c>
      <c r="F21" s="3474">
        <v>279570.3</v>
      </c>
      <c r="G21" s="3474">
        <v>559140.6</v>
      </c>
      <c r="H21" s="3474" t="s">
        <v>3514</v>
      </c>
      <c r="I21" s="3474" t="s">
        <v>3514</v>
      </c>
      <c r="J21" s="3474" t="s">
        <v>3574</v>
      </c>
      <c r="K21" s="3474" t="s">
        <v>3517</v>
      </c>
      <c r="L21" s="3474" t="s">
        <v>3548</v>
      </c>
      <c r="M21" s="3474" t="s">
        <v>3519</v>
      </c>
      <c r="N21" s="3474" t="s">
        <v>3520</v>
      </c>
      <c r="O21" s="3475">
        <v>44400.000497685185</v>
      </c>
      <c r="P21" s="3474" t="s">
        <v>3521</v>
      </c>
      <c r="Q21" s="3474" t="s">
        <v>3589</v>
      </c>
      <c r="R21" s="3474">
        <v>19914</v>
      </c>
      <c r="S21" s="3474">
        <v>712.3</v>
      </c>
      <c r="T21" s="3474">
        <v>47.49</v>
      </c>
      <c r="U21" s="3474">
        <v>356</v>
      </c>
      <c r="V21" s="3474">
        <v>0</v>
      </c>
    </row>
    <row r="22" spans="1:22" hidden="1">
      <c r="A22" s="3474" t="s">
        <v>3587</v>
      </c>
      <c r="B22" s="3474" t="s">
        <v>3384</v>
      </c>
      <c r="C22" s="3474" t="s">
        <v>3511</v>
      </c>
      <c r="D22" s="3474" t="s">
        <v>3512</v>
      </c>
      <c r="E22" s="3474" t="s">
        <v>3590</v>
      </c>
      <c r="F22" s="3474">
        <v>115632.7</v>
      </c>
      <c r="G22" s="3474">
        <v>231265.4</v>
      </c>
      <c r="H22" s="3474" t="s">
        <v>3514</v>
      </c>
      <c r="I22" s="3474" t="s">
        <v>3514</v>
      </c>
      <c r="J22" s="3474" t="s">
        <v>3574</v>
      </c>
      <c r="K22" s="3474" t="s">
        <v>3517</v>
      </c>
      <c r="L22" s="3474" t="s">
        <v>3548</v>
      </c>
      <c r="M22" s="3474" t="s">
        <v>3519</v>
      </c>
      <c r="N22" s="3474" t="s">
        <v>3520</v>
      </c>
      <c r="O22" s="3475">
        <v>44337.000497685185</v>
      </c>
      <c r="P22" s="3474" t="s">
        <v>3521</v>
      </c>
      <c r="Q22" s="3474" t="s">
        <v>3589</v>
      </c>
      <c r="R22" s="3474">
        <v>11926</v>
      </c>
      <c r="S22" s="3474">
        <v>1031.3599999999999</v>
      </c>
      <c r="T22" s="3474">
        <v>68.760000000000005</v>
      </c>
      <c r="U22" s="3474">
        <v>516</v>
      </c>
      <c r="V22" s="3474">
        <v>0</v>
      </c>
    </row>
    <row r="23" spans="1:22" hidden="1">
      <c r="A23" s="3474" t="s">
        <v>3591</v>
      </c>
      <c r="B23" s="3474" t="s">
        <v>3384</v>
      </c>
      <c r="C23" s="3474" t="s">
        <v>3511</v>
      </c>
      <c r="D23" s="3474" t="s">
        <v>3512</v>
      </c>
      <c r="E23" s="3474" t="s">
        <v>3592</v>
      </c>
      <c r="F23" s="3474">
        <v>24660.2</v>
      </c>
      <c r="G23" s="3474">
        <v>49320.4</v>
      </c>
      <c r="H23" s="3474" t="s">
        <v>3514</v>
      </c>
      <c r="I23" s="3474" t="s">
        <v>3514</v>
      </c>
      <c r="J23" s="3474" t="s">
        <v>3574</v>
      </c>
      <c r="K23" s="3474" t="s">
        <v>3517</v>
      </c>
      <c r="L23" s="3474" t="s">
        <v>3548</v>
      </c>
      <c r="M23" s="3474" t="s">
        <v>3519</v>
      </c>
      <c r="N23" s="3474" t="s">
        <v>3520</v>
      </c>
      <c r="O23" s="3475">
        <v>44308.000497685185</v>
      </c>
      <c r="P23" s="3474" t="s">
        <v>3521</v>
      </c>
      <c r="Q23" s="3474" t="s">
        <v>3593</v>
      </c>
      <c r="R23" s="3474">
        <v>1912</v>
      </c>
      <c r="S23" s="3474">
        <v>775.33</v>
      </c>
      <c r="T23" s="3474">
        <v>51.69</v>
      </c>
      <c r="U23" s="3474">
        <v>388</v>
      </c>
      <c r="V23" s="3474">
        <v>0</v>
      </c>
    </row>
    <row r="24" spans="1:22" s="3476" customFormat="1" hidden="1">
      <c r="A24" s="3476" t="s">
        <v>3565</v>
      </c>
      <c r="B24" s="3476" t="s">
        <v>3384</v>
      </c>
      <c r="C24" s="3476" t="s">
        <v>3511</v>
      </c>
      <c r="D24" s="3476" t="s">
        <v>3512</v>
      </c>
      <c r="E24" s="3476" t="s">
        <v>3594</v>
      </c>
      <c r="F24" s="3476">
        <v>242044.6</v>
      </c>
      <c r="G24" s="3476">
        <v>605111.5</v>
      </c>
      <c r="H24" s="3476" t="s">
        <v>3514</v>
      </c>
      <c r="I24" s="3476" t="s">
        <v>3595</v>
      </c>
      <c r="J24" s="3476" t="s">
        <v>3596</v>
      </c>
      <c r="K24" s="3476" t="s">
        <v>3517</v>
      </c>
      <c r="L24" s="3476" t="s">
        <v>3597</v>
      </c>
      <c r="M24" s="3476" t="s">
        <v>3519</v>
      </c>
      <c r="N24" s="3476" t="s">
        <v>3520</v>
      </c>
      <c r="O24" s="3477">
        <v>44281.000497685185</v>
      </c>
      <c r="P24" s="3476" t="s">
        <v>3521</v>
      </c>
      <c r="Q24" s="3476" t="s">
        <v>3598</v>
      </c>
      <c r="R24" s="3476">
        <v>25185</v>
      </c>
      <c r="S24" s="3476">
        <v>1040.51</v>
      </c>
      <c r="T24" s="3476">
        <v>69.37</v>
      </c>
      <c r="U24" s="3476">
        <v>416</v>
      </c>
      <c r="V24" s="3476">
        <v>0</v>
      </c>
    </row>
    <row r="25" spans="1:22" hidden="1">
      <c r="A25" s="3474" t="s">
        <v>3599</v>
      </c>
      <c r="B25" s="3474" t="s">
        <v>3384</v>
      </c>
      <c r="C25" s="3474" t="s">
        <v>3511</v>
      </c>
      <c r="D25" s="3474" t="s">
        <v>3512</v>
      </c>
      <c r="E25" s="3474" t="s">
        <v>3600</v>
      </c>
      <c r="F25" s="3474">
        <v>118100.7</v>
      </c>
      <c r="G25" s="3474">
        <v>236201.4</v>
      </c>
      <c r="H25" s="3474" t="s">
        <v>3514</v>
      </c>
      <c r="I25" s="3474" t="s">
        <v>3514</v>
      </c>
      <c r="J25" s="3474" t="s">
        <v>3574</v>
      </c>
      <c r="K25" s="3474" t="s">
        <v>3517</v>
      </c>
      <c r="L25" s="3474" t="s">
        <v>3551</v>
      </c>
      <c r="M25" s="3474" t="s">
        <v>3519</v>
      </c>
      <c r="N25" s="3474" t="s">
        <v>3520</v>
      </c>
      <c r="O25" s="3475">
        <v>44154.000497685185</v>
      </c>
      <c r="P25" s="3474" t="s">
        <v>3521</v>
      </c>
      <c r="Q25" s="3474" t="s">
        <v>3601</v>
      </c>
      <c r="R25" s="3474">
        <v>8268</v>
      </c>
      <c r="S25" s="3474">
        <v>700.08</v>
      </c>
      <c r="T25" s="3474">
        <v>46.67</v>
      </c>
      <c r="U25" s="3474">
        <v>350</v>
      </c>
      <c r="V25" s="3474">
        <v>0</v>
      </c>
    </row>
    <row r="26" spans="1:22" hidden="1">
      <c r="A26" s="3474" t="s">
        <v>3602</v>
      </c>
      <c r="B26" s="3474" t="s">
        <v>3384</v>
      </c>
      <c r="C26" s="3474" t="s">
        <v>3511</v>
      </c>
      <c r="D26" s="3474" t="s">
        <v>3512</v>
      </c>
      <c r="E26" s="3474" t="s">
        <v>3603</v>
      </c>
      <c r="F26" s="3474">
        <v>54666.7</v>
      </c>
      <c r="G26" s="3474">
        <v>82000.05</v>
      </c>
      <c r="H26" s="3474" t="s">
        <v>3514</v>
      </c>
      <c r="I26" s="3474" t="s">
        <v>3514</v>
      </c>
      <c r="J26" s="3474" t="s">
        <v>3574</v>
      </c>
      <c r="K26" s="3474" t="s">
        <v>3517</v>
      </c>
      <c r="L26" s="3474" t="s">
        <v>3604</v>
      </c>
      <c r="M26" s="3474" t="s">
        <v>3519</v>
      </c>
      <c r="N26" s="3474" t="s">
        <v>3520</v>
      </c>
      <c r="O26" s="3475">
        <v>44148.000497685185</v>
      </c>
      <c r="P26" s="3474" t="s">
        <v>3521</v>
      </c>
      <c r="Q26" s="3474" t="s">
        <v>3605</v>
      </c>
      <c r="R26" s="3474">
        <v>4062</v>
      </c>
      <c r="S26" s="3474">
        <v>743.04</v>
      </c>
      <c r="T26" s="3474">
        <v>49.54</v>
      </c>
      <c r="U26" s="3474">
        <v>495</v>
      </c>
      <c r="V26" s="3474">
        <v>0</v>
      </c>
    </row>
    <row r="27" spans="1:22" hidden="1">
      <c r="A27" s="3474" t="s">
        <v>3606</v>
      </c>
      <c r="B27" s="3474" t="s">
        <v>3384</v>
      </c>
      <c r="C27" s="3474" t="s">
        <v>3511</v>
      </c>
      <c r="D27" s="3474" t="s">
        <v>3512</v>
      </c>
      <c r="E27" s="3474" t="s">
        <v>3607</v>
      </c>
      <c r="F27" s="3474">
        <v>292946.90000000002</v>
      </c>
      <c r="G27" s="3474">
        <v>585893.80000000005</v>
      </c>
      <c r="H27" s="3474" t="s">
        <v>3514</v>
      </c>
      <c r="I27" s="3474" t="s">
        <v>3514</v>
      </c>
      <c r="J27" s="3474" t="s">
        <v>3574</v>
      </c>
      <c r="K27" s="3474" t="s">
        <v>3517</v>
      </c>
      <c r="L27" s="3474" t="s">
        <v>3608</v>
      </c>
      <c r="M27" s="3474" t="s">
        <v>3519</v>
      </c>
      <c r="N27" s="3474" t="s">
        <v>3520</v>
      </c>
      <c r="O27" s="3475">
        <v>44078.000497685185</v>
      </c>
      <c r="P27" s="3474" t="s">
        <v>3521</v>
      </c>
      <c r="Q27" s="3474" t="s">
        <v>3609</v>
      </c>
      <c r="R27" s="3474">
        <v>26832</v>
      </c>
      <c r="S27" s="3474">
        <v>915.93</v>
      </c>
      <c r="T27" s="3474">
        <v>61.06</v>
      </c>
      <c r="U27" s="3474">
        <v>458</v>
      </c>
      <c r="V27" s="3474">
        <v>0</v>
      </c>
    </row>
    <row r="28" spans="1:22" hidden="1">
      <c r="A28" s="3474" t="s">
        <v>3610</v>
      </c>
      <c r="B28" s="3474" t="s">
        <v>3384</v>
      </c>
      <c r="C28" s="3474" t="s">
        <v>3511</v>
      </c>
      <c r="D28" s="3474" t="s">
        <v>3512</v>
      </c>
      <c r="E28" s="3474" t="s">
        <v>3611</v>
      </c>
      <c r="F28" s="3474">
        <v>66666.600000000006</v>
      </c>
      <c r="G28" s="3474">
        <v>133333.20000000001</v>
      </c>
      <c r="H28" s="3474" t="s">
        <v>3514</v>
      </c>
      <c r="I28" s="3474" t="s">
        <v>3514</v>
      </c>
      <c r="J28" s="3474" t="s">
        <v>3574</v>
      </c>
      <c r="K28" s="3474" t="s">
        <v>3517</v>
      </c>
      <c r="L28" s="3474" t="s">
        <v>3551</v>
      </c>
      <c r="M28" s="3474" t="s">
        <v>3519</v>
      </c>
      <c r="N28" s="3474" t="s">
        <v>3520</v>
      </c>
      <c r="O28" s="3475">
        <v>44042.000497685185</v>
      </c>
      <c r="P28" s="3474" t="s">
        <v>3521</v>
      </c>
      <c r="Q28" s="3474" t="s">
        <v>3612</v>
      </c>
      <c r="R28" s="3474">
        <v>4360</v>
      </c>
      <c r="S28" s="3474">
        <v>654</v>
      </c>
      <c r="T28" s="3474">
        <v>43.6</v>
      </c>
      <c r="U28" s="3474">
        <v>327</v>
      </c>
      <c r="V28" s="3474">
        <v>0</v>
      </c>
    </row>
    <row r="29" spans="1:22" hidden="1">
      <c r="A29" s="3474" t="s">
        <v>3613</v>
      </c>
      <c r="B29" s="3474" t="s">
        <v>3384</v>
      </c>
      <c r="C29" s="3474" t="s">
        <v>3511</v>
      </c>
      <c r="D29" s="3474" t="s">
        <v>3512</v>
      </c>
      <c r="E29" s="3474" t="s">
        <v>3614</v>
      </c>
      <c r="F29" s="3474">
        <v>60000.800000000003</v>
      </c>
      <c r="G29" s="3474">
        <v>90001.2</v>
      </c>
      <c r="H29" s="3474" t="s">
        <v>3514</v>
      </c>
      <c r="I29" s="3474" t="s">
        <v>3514</v>
      </c>
      <c r="J29" s="3474" t="s">
        <v>3574</v>
      </c>
      <c r="K29" s="3474" t="s">
        <v>3517</v>
      </c>
      <c r="L29" s="3474" t="s">
        <v>3604</v>
      </c>
      <c r="M29" s="3474" t="s">
        <v>3519</v>
      </c>
      <c r="N29" s="3474" t="s">
        <v>3520</v>
      </c>
      <c r="O29" s="3475">
        <v>43923.000497685185</v>
      </c>
      <c r="P29" s="3474" t="s">
        <v>3521</v>
      </c>
      <c r="Q29" s="3474" t="s">
        <v>3615</v>
      </c>
      <c r="R29" s="3474">
        <v>4964</v>
      </c>
      <c r="S29" s="3474">
        <v>827.32</v>
      </c>
      <c r="T29" s="3474">
        <v>55.15</v>
      </c>
      <c r="U29" s="3474">
        <v>552</v>
      </c>
      <c r="V29" s="3474">
        <v>0</v>
      </c>
    </row>
    <row r="30" spans="1:22" hidden="1">
      <c r="A30" s="3474" t="s">
        <v>3616</v>
      </c>
      <c r="B30" s="3474" t="s">
        <v>3384</v>
      </c>
      <c r="C30" s="3474" t="s">
        <v>3511</v>
      </c>
      <c r="D30" s="3474" t="s">
        <v>3512</v>
      </c>
      <c r="E30" s="3474" t="s">
        <v>3617</v>
      </c>
      <c r="F30" s="3474">
        <v>106667.3</v>
      </c>
      <c r="G30" s="3474">
        <v>213334.6</v>
      </c>
      <c r="H30" s="3474" t="s">
        <v>3514</v>
      </c>
      <c r="I30" s="3474" t="s">
        <v>3514</v>
      </c>
      <c r="J30" s="3474" t="s">
        <v>3574</v>
      </c>
      <c r="K30" s="3474" t="s">
        <v>3517</v>
      </c>
      <c r="L30" s="3474" t="s">
        <v>3551</v>
      </c>
      <c r="M30" s="3474" t="s">
        <v>3519</v>
      </c>
      <c r="N30" s="3474" t="s">
        <v>3520</v>
      </c>
      <c r="O30" s="3475">
        <v>43846.000497685185</v>
      </c>
      <c r="P30" s="3474" t="s">
        <v>3521</v>
      </c>
      <c r="Q30" s="3474" t="s">
        <v>3618</v>
      </c>
      <c r="R30" s="3474">
        <v>7670</v>
      </c>
      <c r="S30" s="3474">
        <v>719.05</v>
      </c>
      <c r="T30" s="3474">
        <v>47.94</v>
      </c>
      <c r="U30" s="3474">
        <v>360</v>
      </c>
      <c r="V30" s="3474">
        <v>0</v>
      </c>
    </row>
    <row r="31" spans="1:22" hidden="1">
      <c r="A31" s="3474" t="s">
        <v>3619</v>
      </c>
      <c r="B31" s="3474" t="s">
        <v>3384</v>
      </c>
      <c r="C31" s="3474" t="s">
        <v>3511</v>
      </c>
      <c r="D31" s="3474" t="s">
        <v>3512</v>
      </c>
      <c r="E31" s="3474" t="s">
        <v>3620</v>
      </c>
      <c r="F31" s="3474">
        <v>20627.5</v>
      </c>
      <c r="G31" s="3474">
        <v>30941.25</v>
      </c>
      <c r="H31" s="3474" t="s">
        <v>3514</v>
      </c>
      <c r="I31" s="3474" t="s">
        <v>3514</v>
      </c>
      <c r="J31" s="3474" t="s">
        <v>3574</v>
      </c>
      <c r="K31" s="3474" t="s">
        <v>3517</v>
      </c>
      <c r="L31" s="3474" t="s">
        <v>3604</v>
      </c>
      <c r="M31" s="3474" t="s">
        <v>3519</v>
      </c>
      <c r="N31" s="3474" t="s">
        <v>3520</v>
      </c>
      <c r="O31" s="3475">
        <v>43846.000497685185</v>
      </c>
      <c r="P31" s="3474" t="s">
        <v>3521</v>
      </c>
      <c r="Q31" s="3474" t="s">
        <v>3621</v>
      </c>
      <c r="R31" s="3474">
        <v>1997</v>
      </c>
      <c r="S31" s="3474">
        <v>968.12</v>
      </c>
      <c r="T31" s="3474">
        <v>64.540000000000006</v>
      </c>
      <c r="U31" s="3474">
        <v>645</v>
      </c>
      <c r="V31" s="3474">
        <v>0</v>
      </c>
    </row>
    <row r="32" spans="1:22" hidden="1">
      <c r="A32" s="3474" t="s">
        <v>3602</v>
      </c>
      <c r="B32" s="3474" t="s">
        <v>3384</v>
      </c>
      <c r="C32" s="3474" t="s">
        <v>3511</v>
      </c>
      <c r="D32" s="3474" t="s">
        <v>3512</v>
      </c>
      <c r="E32" s="3474" t="s">
        <v>3622</v>
      </c>
      <c r="F32" s="3474">
        <v>20867.900000000001</v>
      </c>
      <c r="G32" s="3474">
        <v>31301.85</v>
      </c>
      <c r="H32" s="3474" t="s">
        <v>3514</v>
      </c>
      <c r="I32" s="3474" t="s">
        <v>3514</v>
      </c>
      <c r="J32" s="3474" t="s">
        <v>3574</v>
      </c>
      <c r="K32" s="3474" t="s">
        <v>3517</v>
      </c>
      <c r="L32" s="3474" t="s">
        <v>3604</v>
      </c>
      <c r="M32" s="3474" t="s">
        <v>3519</v>
      </c>
      <c r="N32" s="3474" t="s">
        <v>3520</v>
      </c>
      <c r="O32" s="3475">
        <v>43825.000497685185</v>
      </c>
      <c r="P32" s="3474" t="s">
        <v>3521</v>
      </c>
      <c r="Q32" s="3474" t="s">
        <v>3623</v>
      </c>
      <c r="R32" s="3474">
        <v>1735</v>
      </c>
      <c r="S32" s="3474">
        <v>831.42</v>
      </c>
      <c r="T32" s="3474">
        <v>55.43</v>
      </c>
      <c r="U32" s="3474">
        <v>554</v>
      </c>
      <c r="V32" s="3474">
        <v>0</v>
      </c>
    </row>
    <row r="33" spans="1:22" hidden="1">
      <c r="A33" s="3474" t="s">
        <v>3624</v>
      </c>
      <c r="B33" s="3474" t="s">
        <v>3384</v>
      </c>
      <c r="C33" s="3474" t="s">
        <v>3511</v>
      </c>
      <c r="D33" s="3474" t="s">
        <v>3512</v>
      </c>
      <c r="E33" s="3474" t="s">
        <v>3625</v>
      </c>
      <c r="F33" s="3474">
        <v>33333</v>
      </c>
      <c r="G33" s="3474">
        <v>73332.600000000006</v>
      </c>
      <c r="H33" s="3474" t="s">
        <v>3514</v>
      </c>
      <c r="I33" s="3474" t="s">
        <v>3514</v>
      </c>
      <c r="J33" s="3474" t="s">
        <v>3574</v>
      </c>
      <c r="K33" s="3474" t="s">
        <v>3517</v>
      </c>
      <c r="L33" s="3474" t="s">
        <v>3626</v>
      </c>
      <c r="M33" s="3474" t="s">
        <v>3519</v>
      </c>
      <c r="N33" s="3474" t="s">
        <v>3520</v>
      </c>
      <c r="O33" s="3475">
        <v>43818.000497685185</v>
      </c>
      <c r="P33" s="3474" t="s">
        <v>3521</v>
      </c>
      <c r="Q33" s="3474" t="s">
        <v>3627</v>
      </c>
      <c r="R33" s="3474">
        <v>3561</v>
      </c>
      <c r="S33" s="3474">
        <v>1068.31</v>
      </c>
      <c r="T33" s="3474">
        <v>71.22</v>
      </c>
      <c r="U33" s="3474">
        <v>486</v>
      </c>
      <c r="V33" s="3474">
        <v>0</v>
      </c>
    </row>
    <row r="34" spans="1:22" hidden="1">
      <c r="A34" s="3474" t="s">
        <v>3602</v>
      </c>
      <c r="B34" s="3474" t="s">
        <v>3384</v>
      </c>
      <c r="C34" s="3474" t="s">
        <v>3511</v>
      </c>
      <c r="D34" s="3474" t="s">
        <v>3512</v>
      </c>
      <c r="E34" s="3474" t="s">
        <v>3628</v>
      </c>
      <c r="F34" s="3474">
        <v>14424</v>
      </c>
      <c r="G34" s="3474">
        <v>21636</v>
      </c>
      <c r="H34" s="3474" t="s">
        <v>3514</v>
      </c>
      <c r="I34" s="3474" t="s">
        <v>3514</v>
      </c>
      <c r="J34" s="3474" t="s">
        <v>3574</v>
      </c>
      <c r="K34" s="3474" t="s">
        <v>3517</v>
      </c>
      <c r="L34" s="3474" t="s">
        <v>3604</v>
      </c>
      <c r="M34" s="3474" t="s">
        <v>3519</v>
      </c>
      <c r="N34" s="3474" t="s">
        <v>3520</v>
      </c>
      <c r="O34" s="3475">
        <v>43818.000497685185</v>
      </c>
      <c r="P34" s="3474" t="s">
        <v>3521</v>
      </c>
      <c r="Q34" s="3474" t="s">
        <v>3629</v>
      </c>
      <c r="R34" s="3474">
        <v>1201</v>
      </c>
      <c r="S34" s="3474">
        <v>832.64</v>
      </c>
      <c r="T34" s="3474">
        <v>55.51</v>
      </c>
      <c r="U34" s="3474">
        <v>555</v>
      </c>
      <c r="V34" s="3474">
        <v>0</v>
      </c>
    </row>
    <row r="35" spans="1:22" hidden="1">
      <c r="A35" s="3474" t="s">
        <v>3602</v>
      </c>
      <c r="B35" s="3474" t="s">
        <v>3384</v>
      </c>
      <c r="C35" s="3474" t="s">
        <v>3511</v>
      </c>
      <c r="D35" s="3474" t="s">
        <v>3512</v>
      </c>
      <c r="E35" s="3474" t="s">
        <v>3630</v>
      </c>
      <c r="F35" s="3474">
        <v>216857.9</v>
      </c>
      <c r="G35" s="3474">
        <v>325286.84999999998</v>
      </c>
      <c r="H35" s="3474" t="s">
        <v>3514</v>
      </c>
      <c r="I35" s="3474" t="s">
        <v>3514</v>
      </c>
      <c r="J35" s="3474" t="s">
        <v>3574</v>
      </c>
      <c r="K35" s="3474" t="s">
        <v>3517</v>
      </c>
      <c r="L35" s="3474" t="s">
        <v>3604</v>
      </c>
      <c r="M35" s="3474" t="s">
        <v>3519</v>
      </c>
      <c r="N35" s="3474" t="s">
        <v>3520</v>
      </c>
      <c r="O35" s="3475">
        <v>43777.000497685185</v>
      </c>
      <c r="P35" s="3474" t="s">
        <v>3521</v>
      </c>
      <c r="Q35" s="3474" t="s">
        <v>3631</v>
      </c>
      <c r="R35" s="3474">
        <v>12947</v>
      </c>
      <c r="S35" s="3474">
        <v>597.02</v>
      </c>
      <c r="T35" s="3474">
        <v>39.799999999999997</v>
      </c>
      <c r="U35" s="3474">
        <v>398</v>
      </c>
      <c r="V35" s="3474">
        <v>0</v>
      </c>
    </row>
    <row r="36" spans="1:22" hidden="1">
      <c r="A36" s="3474" t="s">
        <v>3632</v>
      </c>
      <c r="B36" s="3474" t="s">
        <v>3384</v>
      </c>
      <c r="C36" s="3474" t="s">
        <v>3511</v>
      </c>
      <c r="D36" s="3474" t="s">
        <v>3512</v>
      </c>
      <c r="E36" s="3474" t="s">
        <v>3633</v>
      </c>
      <c r="F36" s="3474">
        <v>66667.399999999994</v>
      </c>
      <c r="G36" s="3474">
        <v>100001.1</v>
      </c>
      <c r="H36" s="3474" t="s">
        <v>3514</v>
      </c>
      <c r="I36" s="3474" t="s">
        <v>3514</v>
      </c>
      <c r="J36" s="3474" t="s">
        <v>3574</v>
      </c>
      <c r="K36" s="3474" t="s">
        <v>3517</v>
      </c>
      <c r="L36" s="3474" t="s">
        <v>3604</v>
      </c>
      <c r="M36" s="3474" t="s">
        <v>3519</v>
      </c>
      <c r="N36" s="3474" t="s">
        <v>3520</v>
      </c>
      <c r="O36" s="3475">
        <v>43720.000497685185</v>
      </c>
      <c r="P36" s="3474" t="s">
        <v>3521</v>
      </c>
      <c r="Q36" s="3474" t="s">
        <v>3634</v>
      </c>
      <c r="R36" s="3474">
        <v>5104</v>
      </c>
      <c r="S36" s="3474">
        <v>765.59</v>
      </c>
      <c r="T36" s="3474">
        <v>51.04</v>
      </c>
      <c r="U36" s="3474">
        <v>510</v>
      </c>
      <c r="V36" s="3474">
        <v>0</v>
      </c>
    </row>
    <row r="37" spans="1:22" hidden="1">
      <c r="A37" s="3474" t="s">
        <v>3635</v>
      </c>
      <c r="B37" s="3474" t="s">
        <v>3384</v>
      </c>
      <c r="C37" s="3474" t="s">
        <v>3511</v>
      </c>
      <c r="D37" s="3474" t="s">
        <v>3512</v>
      </c>
      <c r="E37" s="3474" t="s">
        <v>3636</v>
      </c>
      <c r="F37" s="3474">
        <v>150601.4</v>
      </c>
      <c r="G37" s="3474">
        <v>225902.1</v>
      </c>
      <c r="H37" s="3474" t="s">
        <v>3514</v>
      </c>
      <c r="I37" s="3474" t="s">
        <v>3637</v>
      </c>
      <c r="J37" s="3474" t="s">
        <v>3596</v>
      </c>
      <c r="K37" s="3474" t="s">
        <v>3517</v>
      </c>
      <c r="L37" s="3474" t="s">
        <v>3579</v>
      </c>
      <c r="M37" s="3474" t="s">
        <v>3519</v>
      </c>
      <c r="N37" s="3474" t="s">
        <v>3520</v>
      </c>
      <c r="O37" s="3475">
        <v>43664.000497685185</v>
      </c>
      <c r="P37" s="3474" t="s">
        <v>3521</v>
      </c>
      <c r="Q37" s="3474" t="s">
        <v>3638</v>
      </c>
      <c r="R37" s="3474">
        <v>10723</v>
      </c>
      <c r="S37" s="3474">
        <v>712.01</v>
      </c>
      <c r="T37" s="3474">
        <v>47.47</v>
      </c>
      <c r="U37" s="3474">
        <v>475</v>
      </c>
      <c r="V37" s="3474">
        <v>0</v>
      </c>
    </row>
    <row r="38" spans="1:22" hidden="1">
      <c r="A38" s="3474" t="s">
        <v>3624</v>
      </c>
      <c r="B38" s="3474" t="s">
        <v>3384</v>
      </c>
      <c r="C38" s="3474" t="s">
        <v>3511</v>
      </c>
      <c r="D38" s="3474" t="s">
        <v>3512</v>
      </c>
      <c r="E38" s="3474" t="s">
        <v>3639</v>
      </c>
      <c r="F38" s="3474">
        <v>99541.8</v>
      </c>
      <c r="G38" s="3474">
        <v>218992</v>
      </c>
      <c r="H38" s="3474" t="s">
        <v>3514</v>
      </c>
      <c r="I38" s="3474" t="s">
        <v>3514</v>
      </c>
      <c r="J38" s="3474" t="s">
        <v>3574</v>
      </c>
      <c r="K38" s="3474" t="s">
        <v>3517</v>
      </c>
      <c r="L38" s="3474" t="s">
        <v>3626</v>
      </c>
      <c r="M38" s="3474" t="s">
        <v>3519</v>
      </c>
      <c r="N38" s="3474" t="s">
        <v>3520</v>
      </c>
      <c r="O38" s="3475">
        <v>43650.000497685185</v>
      </c>
      <c r="P38" s="3474" t="s">
        <v>3521</v>
      </c>
      <c r="Q38" s="3474" t="s">
        <v>3640</v>
      </c>
      <c r="R38" s="3474">
        <v>5909</v>
      </c>
      <c r="S38" s="3474">
        <v>593.62</v>
      </c>
      <c r="T38" s="3474">
        <v>39.57</v>
      </c>
      <c r="U38" s="3474">
        <v>270</v>
      </c>
      <c r="V38" s="3474">
        <v>0</v>
      </c>
    </row>
    <row r="39" spans="1:22" hidden="1">
      <c r="A39" s="3474" t="s">
        <v>3641</v>
      </c>
      <c r="B39" s="3474" t="s">
        <v>3384</v>
      </c>
      <c r="C39" s="3474" t="s">
        <v>3511</v>
      </c>
      <c r="D39" s="3474" t="s">
        <v>3512</v>
      </c>
      <c r="E39" s="3474" t="s">
        <v>3642</v>
      </c>
      <c r="F39" s="3474">
        <v>232534</v>
      </c>
      <c r="G39" s="3474">
        <v>348801</v>
      </c>
      <c r="H39" s="3474" t="s">
        <v>3514</v>
      </c>
      <c r="I39" s="3474" t="s">
        <v>3643</v>
      </c>
      <c r="J39" s="3474" t="s">
        <v>3644</v>
      </c>
      <c r="K39" s="3474" t="s">
        <v>3517</v>
      </c>
      <c r="L39" s="3474" t="s">
        <v>3579</v>
      </c>
      <c r="M39" s="3474" t="s">
        <v>3519</v>
      </c>
      <c r="N39" s="3474" t="s">
        <v>3520</v>
      </c>
      <c r="O39" s="3475">
        <v>43629.000497685185</v>
      </c>
      <c r="P39" s="3474" t="s">
        <v>3521</v>
      </c>
      <c r="Q39" s="3474" t="s">
        <v>3549</v>
      </c>
      <c r="R39" s="3474">
        <v>21405</v>
      </c>
      <c r="S39" s="3474">
        <v>920.51</v>
      </c>
      <c r="T39" s="3474">
        <v>61.37</v>
      </c>
      <c r="U39" s="3474">
        <v>614</v>
      </c>
      <c r="V39" s="3474">
        <v>0</v>
      </c>
    </row>
    <row r="40" spans="1:22" hidden="1">
      <c r="A40" s="3474" t="s">
        <v>3645</v>
      </c>
      <c r="B40" s="3474" t="s">
        <v>3384</v>
      </c>
      <c r="C40" s="3474" t="s">
        <v>3511</v>
      </c>
      <c r="D40" s="3474" t="s">
        <v>3512</v>
      </c>
      <c r="E40" s="3474" t="s">
        <v>3646</v>
      </c>
      <c r="F40" s="3474">
        <v>26392.2</v>
      </c>
      <c r="G40" s="3474">
        <v>39588.300000000003</v>
      </c>
      <c r="H40" s="3474" t="s">
        <v>3514</v>
      </c>
      <c r="I40" s="3474" t="s">
        <v>3514</v>
      </c>
      <c r="J40" s="3474" t="s">
        <v>3574</v>
      </c>
      <c r="K40" s="3474" t="s">
        <v>3517</v>
      </c>
      <c r="L40" s="3474" t="s">
        <v>3604</v>
      </c>
      <c r="M40" s="3474" t="s">
        <v>3519</v>
      </c>
      <c r="N40" s="3474" t="s">
        <v>3520</v>
      </c>
      <c r="O40" s="3475">
        <v>43629.000497685185</v>
      </c>
      <c r="P40" s="3474" t="s">
        <v>3521</v>
      </c>
      <c r="Q40" s="3474" t="s">
        <v>3647</v>
      </c>
      <c r="R40" s="3474">
        <v>2196</v>
      </c>
      <c r="S40" s="3474">
        <v>832.06</v>
      </c>
      <c r="T40" s="3474">
        <v>55.47</v>
      </c>
      <c r="U40" s="3474">
        <v>555</v>
      </c>
      <c r="V40" s="3474">
        <v>0</v>
      </c>
    </row>
    <row r="41" spans="1:22" hidden="1">
      <c r="A41" s="3474" t="s">
        <v>3632</v>
      </c>
      <c r="B41" s="3474" t="s">
        <v>3384</v>
      </c>
      <c r="C41" s="3474" t="s">
        <v>3511</v>
      </c>
      <c r="D41" s="3474" t="s">
        <v>3512</v>
      </c>
      <c r="E41" s="3474" t="s">
        <v>3648</v>
      </c>
      <c r="F41" s="3474">
        <v>33333.599999999999</v>
      </c>
      <c r="G41" s="3474">
        <v>66667.199999999997</v>
      </c>
      <c r="H41" s="3474" t="s">
        <v>3514</v>
      </c>
      <c r="I41" s="3474" t="s">
        <v>3514</v>
      </c>
      <c r="J41" s="3474" t="s">
        <v>3574</v>
      </c>
      <c r="K41" s="3474" t="s">
        <v>3517</v>
      </c>
      <c r="L41" s="3474" t="s">
        <v>3551</v>
      </c>
      <c r="M41" s="3474" t="s">
        <v>3519</v>
      </c>
      <c r="N41" s="3474" t="s">
        <v>3520</v>
      </c>
      <c r="O41" s="3475">
        <v>43584.000497685185</v>
      </c>
      <c r="P41" s="3474" t="s">
        <v>3521</v>
      </c>
      <c r="Q41" s="3474" t="s">
        <v>3649</v>
      </c>
      <c r="R41" s="3474">
        <v>2482</v>
      </c>
      <c r="S41" s="3474">
        <v>744.59</v>
      </c>
      <c r="T41" s="3474">
        <v>49.64</v>
      </c>
      <c r="U41" s="3474">
        <v>372</v>
      </c>
      <c r="V41" s="3474">
        <v>0</v>
      </c>
    </row>
    <row r="42" spans="1:22" hidden="1">
      <c r="A42" s="3474" t="s">
        <v>3650</v>
      </c>
      <c r="B42" s="3474" t="s">
        <v>3384</v>
      </c>
      <c r="C42" s="3474" t="s">
        <v>3511</v>
      </c>
      <c r="D42" s="3474" t="s">
        <v>3512</v>
      </c>
      <c r="E42" s="3474" t="s">
        <v>3651</v>
      </c>
      <c r="F42" s="3474">
        <v>40360.5</v>
      </c>
      <c r="G42" s="3474">
        <v>80721</v>
      </c>
      <c r="H42" s="3474" t="s">
        <v>3514</v>
      </c>
      <c r="I42" s="3474" t="s">
        <v>3514</v>
      </c>
      <c r="J42" s="3474" t="s">
        <v>3574</v>
      </c>
      <c r="K42" s="3474" t="s">
        <v>3517</v>
      </c>
      <c r="L42" s="3474" t="s">
        <v>3608</v>
      </c>
      <c r="M42" s="3474" t="s">
        <v>3519</v>
      </c>
      <c r="N42" s="3474" t="s">
        <v>3520</v>
      </c>
      <c r="O42" s="3475">
        <v>43521.000497685185</v>
      </c>
      <c r="P42" s="3474" t="s">
        <v>3521</v>
      </c>
      <c r="Q42" s="3474" t="s">
        <v>3652</v>
      </c>
      <c r="R42" s="3474">
        <v>2358</v>
      </c>
      <c r="S42" s="3474">
        <v>584.23</v>
      </c>
      <c r="T42" s="3474">
        <v>38.950000000000003</v>
      </c>
      <c r="U42" s="3474">
        <v>292</v>
      </c>
      <c r="V42" s="3474">
        <v>0</v>
      </c>
    </row>
    <row r="43" spans="1:22" hidden="1">
      <c r="A43" s="3474" t="s">
        <v>3650</v>
      </c>
      <c r="B43" s="3474" t="s">
        <v>3384</v>
      </c>
      <c r="C43" s="3474" t="s">
        <v>3511</v>
      </c>
      <c r="D43" s="3474" t="s">
        <v>3512</v>
      </c>
      <c r="E43" s="3474" t="s">
        <v>3653</v>
      </c>
      <c r="F43" s="3474">
        <v>96686.5</v>
      </c>
      <c r="G43" s="3474">
        <v>241716.2</v>
      </c>
      <c r="H43" s="3474" t="s">
        <v>3514</v>
      </c>
      <c r="I43" s="3474" t="s">
        <v>3514</v>
      </c>
      <c r="J43" s="3474" t="s">
        <v>3574</v>
      </c>
      <c r="K43" s="3474" t="s">
        <v>3517</v>
      </c>
      <c r="L43" s="3474" t="s">
        <v>3654</v>
      </c>
      <c r="M43" s="3474" t="s">
        <v>3519</v>
      </c>
      <c r="N43" s="3474" t="s">
        <v>3520</v>
      </c>
      <c r="O43" s="3475">
        <v>43521.000497685185</v>
      </c>
      <c r="P43" s="3474" t="s">
        <v>3521</v>
      </c>
      <c r="Q43" s="3474" t="s">
        <v>3655</v>
      </c>
      <c r="R43" s="3474">
        <v>5676</v>
      </c>
      <c r="S43" s="3474">
        <v>587.04999999999995</v>
      </c>
      <c r="T43" s="3474">
        <v>39.14</v>
      </c>
      <c r="U43" s="3474">
        <v>235</v>
      </c>
      <c r="V43" s="3474">
        <v>0</v>
      </c>
    </row>
    <row r="44" spans="1:22" hidden="1">
      <c r="A44" s="3474" t="s">
        <v>3602</v>
      </c>
      <c r="B44" s="3474" t="s">
        <v>3384</v>
      </c>
      <c r="C44" s="3474" t="s">
        <v>3511</v>
      </c>
      <c r="D44" s="3474" t="s">
        <v>3512</v>
      </c>
      <c r="E44" s="3474" t="s">
        <v>3656</v>
      </c>
      <c r="F44" s="3474">
        <v>26986.799999999999</v>
      </c>
      <c r="G44" s="3474">
        <v>40480.199999999997</v>
      </c>
      <c r="H44" s="3474" t="s">
        <v>3514</v>
      </c>
      <c r="I44" s="3474" t="s">
        <v>3514</v>
      </c>
      <c r="J44" s="3474" t="s">
        <v>3574</v>
      </c>
      <c r="K44" s="3474" t="s">
        <v>3517</v>
      </c>
      <c r="L44" s="3474" t="s">
        <v>3604</v>
      </c>
      <c r="M44" s="3474" t="s">
        <v>3519</v>
      </c>
      <c r="N44" s="3474" t="s">
        <v>3520</v>
      </c>
      <c r="O44" s="3475">
        <v>43493.000497685185</v>
      </c>
      <c r="P44" s="3474" t="s">
        <v>3521</v>
      </c>
      <c r="Q44" s="3474" t="s">
        <v>3657</v>
      </c>
      <c r="R44" s="3474">
        <v>1504</v>
      </c>
      <c r="S44" s="3474">
        <v>557.29999999999995</v>
      </c>
      <c r="T44" s="3474">
        <v>37.15</v>
      </c>
      <c r="U44" s="3474">
        <v>372</v>
      </c>
      <c r="V44" s="3474">
        <v>0</v>
      </c>
    </row>
    <row r="45" spans="1:22" hidden="1">
      <c r="A45" s="3474" t="s">
        <v>3632</v>
      </c>
      <c r="B45" s="3474" t="s">
        <v>3384</v>
      </c>
      <c r="C45" s="3474" t="s">
        <v>3511</v>
      </c>
      <c r="D45" s="3474" t="s">
        <v>3512</v>
      </c>
      <c r="E45" s="3474" t="s">
        <v>3658</v>
      </c>
      <c r="F45" s="3474">
        <v>87715.9</v>
      </c>
      <c r="G45" s="3474">
        <v>131573.79999999999</v>
      </c>
      <c r="H45" s="3474" t="s">
        <v>3514</v>
      </c>
      <c r="I45" s="3474" t="s">
        <v>3514</v>
      </c>
      <c r="J45" s="3474" t="s">
        <v>3574</v>
      </c>
      <c r="K45" s="3474" t="s">
        <v>3517</v>
      </c>
      <c r="L45" s="3474" t="s">
        <v>3604</v>
      </c>
      <c r="M45" s="3474" t="s">
        <v>3519</v>
      </c>
      <c r="N45" s="3474" t="s">
        <v>3520</v>
      </c>
      <c r="O45" s="3475">
        <v>43469.000497685185</v>
      </c>
      <c r="P45" s="3474" t="s">
        <v>3521</v>
      </c>
      <c r="Q45" s="3474" t="s">
        <v>3659</v>
      </c>
      <c r="R45" s="3474">
        <v>6675</v>
      </c>
      <c r="S45" s="3474">
        <v>760.97</v>
      </c>
      <c r="T45" s="3474">
        <v>50.73</v>
      </c>
      <c r="U45" s="3474">
        <v>507</v>
      </c>
      <c r="V45" s="3474">
        <v>0</v>
      </c>
    </row>
    <row r="46" spans="1:22" hidden="1">
      <c r="A46" s="3474" t="s">
        <v>3660</v>
      </c>
      <c r="B46" s="3474" t="s">
        <v>3384</v>
      </c>
      <c r="C46" s="3474" t="s">
        <v>3511</v>
      </c>
      <c r="D46" s="3474" t="s">
        <v>3512</v>
      </c>
      <c r="E46" s="3474" t="s">
        <v>3661</v>
      </c>
      <c r="F46" s="3474">
        <v>238850.5</v>
      </c>
      <c r="G46" s="3474">
        <v>477701</v>
      </c>
      <c r="H46" s="3474" t="s">
        <v>3514</v>
      </c>
      <c r="I46" s="3474" t="s">
        <v>3595</v>
      </c>
      <c r="J46" s="3474" t="s">
        <v>3596</v>
      </c>
      <c r="K46" s="3474" t="s">
        <v>3517</v>
      </c>
      <c r="L46" s="3474" t="s">
        <v>3548</v>
      </c>
      <c r="M46" s="3474" t="s">
        <v>3519</v>
      </c>
      <c r="N46" s="3474" t="s">
        <v>3520</v>
      </c>
      <c r="O46" s="3475">
        <v>43391.000497685185</v>
      </c>
      <c r="P46" s="3474" t="s">
        <v>3521</v>
      </c>
      <c r="Q46" s="3474" t="s">
        <v>3662</v>
      </c>
      <c r="R46" s="3474">
        <v>17460</v>
      </c>
      <c r="S46" s="3474">
        <v>731</v>
      </c>
      <c r="T46" s="3474">
        <v>48.73</v>
      </c>
      <c r="U46" s="3474">
        <v>366</v>
      </c>
      <c r="V46" s="3474">
        <v>0</v>
      </c>
    </row>
    <row r="47" spans="1:22" hidden="1">
      <c r="A47" s="3474" t="s">
        <v>3602</v>
      </c>
      <c r="B47" s="3474" t="s">
        <v>3384</v>
      </c>
      <c r="C47" s="3474" t="s">
        <v>3511</v>
      </c>
      <c r="D47" s="3474" t="s">
        <v>3512</v>
      </c>
      <c r="E47" s="3474" t="s">
        <v>3663</v>
      </c>
      <c r="F47" s="3474">
        <v>94001.8</v>
      </c>
      <c r="G47" s="3474">
        <v>141002.70000000001</v>
      </c>
      <c r="H47" s="3474" t="s">
        <v>3514</v>
      </c>
      <c r="I47" s="3474" t="s">
        <v>3514</v>
      </c>
      <c r="J47" s="3474" t="s">
        <v>3574</v>
      </c>
      <c r="K47" s="3474" t="s">
        <v>3517</v>
      </c>
      <c r="L47" s="3474" t="s">
        <v>3604</v>
      </c>
      <c r="M47" s="3474" t="s">
        <v>3519</v>
      </c>
      <c r="N47" s="3474" t="s">
        <v>3520</v>
      </c>
      <c r="O47" s="3475">
        <v>43391.000497685185</v>
      </c>
      <c r="P47" s="3474" t="s">
        <v>3521</v>
      </c>
      <c r="Q47" s="3474" t="s">
        <v>3605</v>
      </c>
      <c r="R47" s="3474">
        <v>5189</v>
      </c>
      <c r="S47" s="3474">
        <v>552.01</v>
      </c>
      <c r="T47" s="3474">
        <v>36.799999999999997</v>
      </c>
      <c r="U47" s="3474">
        <v>368</v>
      </c>
      <c r="V47" s="3474">
        <v>0</v>
      </c>
    </row>
    <row r="48" spans="1:22" hidden="1">
      <c r="A48" s="3474" t="s">
        <v>3510</v>
      </c>
      <c r="B48" s="3474" t="s">
        <v>3384</v>
      </c>
      <c r="C48" s="3474" t="s">
        <v>3511</v>
      </c>
      <c r="D48" s="3474" t="s">
        <v>3512</v>
      </c>
      <c r="E48" s="3474" t="s">
        <v>3664</v>
      </c>
      <c r="F48" s="3474">
        <v>40000.300000000003</v>
      </c>
      <c r="G48" s="3474">
        <v>60000.45</v>
      </c>
      <c r="H48" s="3474" t="s">
        <v>3514</v>
      </c>
      <c r="I48" s="3474" t="s">
        <v>3514</v>
      </c>
      <c r="J48" s="3474" t="s">
        <v>3574</v>
      </c>
      <c r="K48" s="3474" t="s">
        <v>3517</v>
      </c>
      <c r="L48" s="3474" t="s">
        <v>3604</v>
      </c>
      <c r="M48" s="3474" t="s">
        <v>3519</v>
      </c>
      <c r="N48" s="3474" t="s">
        <v>3520</v>
      </c>
      <c r="O48" s="3475">
        <v>43328.000497685185</v>
      </c>
      <c r="P48" s="3474" t="s">
        <v>3521</v>
      </c>
      <c r="Q48" s="3474" t="s">
        <v>3665</v>
      </c>
      <c r="R48" s="3474">
        <v>2332</v>
      </c>
      <c r="S48" s="3474">
        <v>582.99</v>
      </c>
      <c r="T48" s="3474">
        <v>38.869999999999997</v>
      </c>
      <c r="U48" s="3474">
        <v>389</v>
      </c>
      <c r="V48" s="3474">
        <v>0</v>
      </c>
    </row>
    <row r="49" spans="1:22" hidden="1">
      <c r="A49" s="3474" t="s">
        <v>3510</v>
      </c>
      <c r="B49" s="3474" t="s">
        <v>3384</v>
      </c>
      <c r="C49" s="3474" t="s">
        <v>3511</v>
      </c>
      <c r="D49" s="3474" t="s">
        <v>3512</v>
      </c>
      <c r="E49" s="3474" t="s">
        <v>3666</v>
      </c>
      <c r="F49" s="3474">
        <v>33333.800000000003</v>
      </c>
      <c r="G49" s="3474">
        <v>66667.600000000006</v>
      </c>
      <c r="H49" s="3474" t="s">
        <v>3514</v>
      </c>
      <c r="I49" s="3474" t="s">
        <v>3514</v>
      </c>
      <c r="J49" s="3474" t="s">
        <v>3574</v>
      </c>
      <c r="K49" s="3474" t="s">
        <v>3517</v>
      </c>
      <c r="L49" s="3474" t="s">
        <v>3551</v>
      </c>
      <c r="M49" s="3474" t="s">
        <v>3519</v>
      </c>
      <c r="N49" s="3474" t="s">
        <v>3520</v>
      </c>
      <c r="O49" s="3475">
        <v>43328.000497685185</v>
      </c>
      <c r="P49" s="3474" t="s">
        <v>3521</v>
      </c>
      <c r="Q49" s="3474" t="s">
        <v>3649</v>
      </c>
      <c r="R49" s="3474">
        <v>1979</v>
      </c>
      <c r="S49" s="3474">
        <v>593.69000000000005</v>
      </c>
      <c r="T49" s="3474">
        <v>39.58</v>
      </c>
      <c r="U49" s="3474">
        <v>297</v>
      </c>
      <c r="V49" s="3474">
        <v>0</v>
      </c>
    </row>
    <row r="50" spans="1:22" hidden="1">
      <c r="A50" s="3474" t="s">
        <v>3510</v>
      </c>
      <c r="B50" s="3474" t="s">
        <v>3384</v>
      </c>
      <c r="C50" s="3474" t="s">
        <v>3511</v>
      </c>
      <c r="D50" s="3474" t="s">
        <v>3512</v>
      </c>
      <c r="E50" s="3474" t="s">
        <v>3667</v>
      </c>
      <c r="F50" s="3474">
        <v>13333.3</v>
      </c>
      <c r="G50" s="3474">
        <v>19999.95</v>
      </c>
      <c r="H50" s="3474" t="s">
        <v>3514</v>
      </c>
      <c r="I50" s="3474" t="s">
        <v>3514</v>
      </c>
      <c r="J50" s="3474" t="s">
        <v>3574</v>
      </c>
      <c r="K50" s="3474" t="s">
        <v>3517</v>
      </c>
      <c r="L50" s="3474" t="s">
        <v>3604</v>
      </c>
      <c r="M50" s="3474" t="s">
        <v>3519</v>
      </c>
      <c r="N50" s="3474" t="s">
        <v>3520</v>
      </c>
      <c r="O50" s="3475">
        <v>43286.000497685185</v>
      </c>
      <c r="P50" s="3474" t="s">
        <v>3521</v>
      </c>
      <c r="Q50" s="3474" t="s">
        <v>3668</v>
      </c>
      <c r="R50" s="3474">
        <v>795</v>
      </c>
      <c r="S50" s="3474">
        <v>596.25</v>
      </c>
      <c r="T50" s="3474">
        <v>39.75</v>
      </c>
      <c r="U50" s="3474">
        <v>398</v>
      </c>
      <c r="V50" s="3474">
        <v>0</v>
      </c>
    </row>
    <row r="51" spans="1:22" hidden="1">
      <c r="A51" s="3474" t="s">
        <v>3510</v>
      </c>
      <c r="B51" s="3474" t="s">
        <v>3384</v>
      </c>
      <c r="C51" s="3474" t="s">
        <v>3511</v>
      </c>
      <c r="D51" s="3474" t="s">
        <v>3512</v>
      </c>
      <c r="E51" s="3474" t="s">
        <v>3669</v>
      </c>
      <c r="F51" s="3474">
        <v>10000</v>
      </c>
      <c r="G51" s="3474">
        <v>15000</v>
      </c>
      <c r="H51" s="3474" t="s">
        <v>3514</v>
      </c>
      <c r="I51" s="3474" t="s">
        <v>3514</v>
      </c>
      <c r="J51" s="3474" t="s">
        <v>3574</v>
      </c>
      <c r="K51" s="3474" t="s">
        <v>3517</v>
      </c>
      <c r="L51" s="3474" t="s">
        <v>3604</v>
      </c>
      <c r="M51" s="3474" t="s">
        <v>3519</v>
      </c>
      <c r="N51" s="3474" t="s">
        <v>3520</v>
      </c>
      <c r="O51" s="3475">
        <v>43286.000497685185</v>
      </c>
      <c r="P51" s="3474" t="s">
        <v>3521</v>
      </c>
      <c r="Q51" s="3474" t="s">
        <v>3670</v>
      </c>
      <c r="R51" s="3474">
        <v>597</v>
      </c>
      <c r="S51" s="3474">
        <v>597</v>
      </c>
      <c r="T51" s="3474">
        <v>39.799999999999997</v>
      </c>
      <c r="U51" s="3474">
        <v>398</v>
      </c>
      <c r="V51" s="3474">
        <v>0</v>
      </c>
    </row>
    <row r="52" spans="1:22" hidden="1">
      <c r="A52" s="3474" t="s">
        <v>3510</v>
      </c>
      <c r="B52" s="3474" t="s">
        <v>3384</v>
      </c>
      <c r="C52" s="3474" t="s">
        <v>3511</v>
      </c>
      <c r="D52" s="3474" t="s">
        <v>3512</v>
      </c>
      <c r="E52" s="3474" t="s">
        <v>3671</v>
      </c>
      <c r="F52" s="3474">
        <v>13333.3</v>
      </c>
      <c r="G52" s="3474">
        <v>19999.95</v>
      </c>
      <c r="H52" s="3474" t="s">
        <v>3514</v>
      </c>
      <c r="I52" s="3474" t="s">
        <v>3514</v>
      </c>
      <c r="J52" s="3474" t="s">
        <v>3574</v>
      </c>
      <c r="K52" s="3474" t="s">
        <v>3517</v>
      </c>
      <c r="L52" s="3474" t="s">
        <v>3604</v>
      </c>
      <c r="M52" s="3474" t="s">
        <v>3519</v>
      </c>
      <c r="N52" s="3474" t="s">
        <v>3520</v>
      </c>
      <c r="O52" s="3475">
        <v>43286.000497685185</v>
      </c>
      <c r="P52" s="3474" t="s">
        <v>3521</v>
      </c>
      <c r="Q52" s="3474" t="s">
        <v>3672</v>
      </c>
      <c r="R52" s="3474">
        <v>795</v>
      </c>
      <c r="S52" s="3474">
        <v>596.25</v>
      </c>
      <c r="T52" s="3474">
        <v>39.75</v>
      </c>
      <c r="U52" s="3474">
        <v>398</v>
      </c>
      <c r="V52" s="3474">
        <v>0</v>
      </c>
    </row>
    <row r="53" spans="1:22" hidden="1">
      <c r="A53" s="3474" t="s">
        <v>3673</v>
      </c>
      <c r="B53" s="3474" t="s">
        <v>3384</v>
      </c>
      <c r="C53" s="3474" t="s">
        <v>3511</v>
      </c>
      <c r="D53" s="3474" t="s">
        <v>3512</v>
      </c>
      <c r="E53" s="3474" t="s">
        <v>3674</v>
      </c>
      <c r="F53" s="3474">
        <v>20000.2</v>
      </c>
      <c r="G53" s="3474">
        <v>30000.3</v>
      </c>
      <c r="H53" s="3474" t="s">
        <v>3514</v>
      </c>
      <c r="I53" s="3474" t="s">
        <v>3514</v>
      </c>
      <c r="J53" s="3474" t="s">
        <v>3574</v>
      </c>
      <c r="K53" s="3474" t="s">
        <v>3517</v>
      </c>
      <c r="L53" s="3474" t="s">
        <v>3604</v>
      </c>
      <c r="M53" s="3474" t="s">
        <v>3519</v>
      </c>
      <c r="N53" s="3474" t="s">
        <v>3520</v>
      </c>
      <c r="O53" s="3475">
        <v>43104.000497685185</v>
      </c>
      <c r="P53" s="3474" t="s">
        <v>3521</v>
      </c>
      <c r="Q53" s="3474" t="s">
        <v>3580</v>
      </c>
      <c r="R53" s="3474">
        <v>1037</v>
      </c>
      <c r="S53" s="3474">
        <v>518.49</v>
      </c>
      <c r="T53" s="3474">
        <v>34.57</v>
      </c>
      <c r="U53" s="3474">
        <v>346</v>
      </c>
      <c r="V53" s="3474">
        <v>0</v>
      </c>
    </row>
    <row r="54" spans="1:22" hidden="1">
      <c r="A54" s="3474" t="s">
        <v>3675</v>
      </c>
      <c r="B54" s="3474" t="s">
        <v>3384</v>
      </c>
      <c r="C54" s="3474" t="s">
        <v>3511</v>
      </c>
      <c r="D54" s="3474" t="s">
        <v>3512</v>
      </c>
      <c r="E54" s="3474" t="s">
        <v>3676</v>
      </c>
      <c r="F54" s="3474">
        <v>43461.5</v>
      </c>
      <c r="G54" s="3474">
        <v>65192.25</v>
      </c>
      <c r="H54" s="3474" t="s">
        <v>3514</v>
      </c>
      <c r="I54" s="3474" t="s">
        <v>3514</v>
      </c>
      <c r="J54" s="3474" t="s">
        <v>3574</v>
      </c>
      <c r="K54" s="3474" t="s">
        <v>3517</v>
      </c>
      <c r="L54" s="3474" t="s">
        <v>3677</v>
      </c>
      <c r="M54" s="3474" t="s">
        <v>3519</v>
      </c>
      <c r="N54" s="3474" t="s">
        <v>3520</v>
      </c>
      <c r="O54" s="3475">
        <v>43094.000497685185</v>
      </c>
      <c r="P54" s="3474" t="s">
        <v>3521</v>
      </c>
      <c r="Q54" s="3474" t="s">
        <v>3678</v>
      </c>
      <c r="R54" s="3474">
        <v>2380</v>
      </c>
      <c r="S54" s="3474">
        <v>547.61</v>
      </c>
      <c r="T54" s="3474">
        <v>36.51</v>
      </c>
      <c r="U54" s="3474">
        <v>365</v>
      </c>
      <c r="V54" s="3474">
        <v>0</v>
      </c>
    </row>
    <row r="55" spans="1:22" hidden="1">
      <c r="A55" s="3474" t="s">
        <v>3675</v>
      </c>
      <c r="B55" s="3474" t="s">
        <v>3384</v>
      </c>
      <c r="C55" s="3474" t="s">
        <v>3511</v>
      </c>
      <c r="D55" s="3474" t="s">
        <v>3512</v>
      </c>
      <c r="E55" s="3474" t="s">
        <v>3679</v>
      </c>
      <c r="F55" s="3474">
        <v>77200.399999999994</v>
      </c>
      <c r="G55" s="3474">
        <v>115800.6</v>
      </c>
      <c r="H55" s="3474" t="s">
        <v>3514</v>
      </c>
      <c r="I55" s="3474" t="s">
        <v>3514</v>
      </c>
      <c r="J55" s="3474" t="s">
        <v>3574</v>
      </c>
      <c r="K55" s="3474" t="s">
        <v>3517</v>
      </c>
      <c r="L55" s="3474" t="s">
        <v>3604</v>
      </c>
      <c r="M55" s="3474" t="s">
        <v>3519</v>
      </c>
      <c r="N55" s="3474" t="s">
        <v>3520</v>
      </c>
      <c r="O55" s="3475">
        <v>43094.000497685185</v>
      </c>
      <c r="P55" s="3474" t="s">
        <v>3521</v>
      </c>
      <c r="Q55" s="3474" t="s">
        <v>3680</v>
      </c>
      <c r="R55" s="3474">
        <v>4111</v>
      </c>
      <c r="S55" s="3474">
        <v>532.51</v>
      </c>
      <c r="T55" s="3474">
        <v>35.5</v>
      </c>
      <c r="U55" s="3474">
        <v>355</v>
      </c>
      <c r="V55" s="3474">
        <v>0</v>
      </c>
    </row>
    <row r="56" spans="1:22" hidden="1">
      <c r="A56" s="3474" t="s">
        <v>3681</v>
      </c>
      <c r="B56" s="3474" t="s">
        <v>3384</v>
      </c>
      <c r="C56" s="3474" t="s">
        <v>3511</v>
      </c>
      <c r="D56" s="3474" t="s">
        <v>3512</v>
      </c>
      <c r="E56" s="3474" t="s">
        <v>3682</v>
      </c>
      <c r="F56" s="3474">
        <v>13333.6</v>
      </c>
      <c r="G56" s="3474">
        <v>20000.400000000001</v>
      </c>
      <c r="H56" s="3474" t="s">
        <v>3514</v>
      </c>
      <c r="I56" s="3474" t="s">
        <v>3514</v>
      </c>
      <c r="J56" s="3474" t="s">
        <v>3574</v>
      </c>
      <c r="K56" s="3474" t="s">
        <v>3517</v>
      </c>
      <c r="L56" s="3474" t="s">
        <v>3579</v>
      </c>
      <c r="M56" s="3474" t="s">
        <v>3519</v>
      </c>
      <c r="N56" s="3474" t="s">
        <v>3520</v>
      </c>
      <c r="O56" s="3475">
        <v>43087.000497685185</v>
      </c>
      <c r="P56" s="3474" t="s">
        <v>3521</v>
      </c>
      <c r="Q56" s="3474" t="s">
        <v>3683</v>
      </c>
      <c r="R56" s="3474">
        <v>1012</v>
      </c>
      <c r="S56" s="3474">
        <v>758.98</v>
      </c>
      <c r="T56" s="3474">
        <v>50.6</v>
      </c>
      <c r="U56" s="3474">
        <v>506</v>
      </c>
      <c r="V56" s="3474">
        <v>0</v>
      </c>
    </row>
    <row r="57" spans="1:22" hidden="1">
      <c r="A57" s="3474" t="s">
        <v>3684</v>
      </c>
      <c r="B57" s="3474" t="s">
        <v>3384</v>
      </c>
      <c r="C57" s="3474" t="s">
        <v>3511</v>
      </c>
      <c r="D57" s="3474" t="s">
        <v>3685</v>
      </c>
      <c r="E57" s="3474" t="s">
        <v>3686</v>
      </c>
      <c r="F57" s="3474">
        <v>33333.199999999997</v>
      </c>
      <c r="G57" s="3474">
        <v>73333.039999999994</v>
      </c>
      <c r="H57" s="3474" t="s">
        <v>3514</v>
      </c>
      <c r="I57" s="3474" t="s">
        <v>3514</v>
      </c>
      <c r="J57" s="3474" t="s">
        <v>3574</v>
      </c>
      <c r="K57" s="3474" t="s">
        <v>3517</v>
      </c>
      <c r="L57" s="3474" t="s">
        <v>3626</v>
      </c>
      <c r="M57" s="3474" t="s">
        <v>3519</v>
      </c>
      <c r="N57" s="3474" t="s">
        <v>3520</v>
      </c>
      <c r="O57" s="3475">
        <v>42958.000497685185</v>
      </c>
      <c r="P57" s="3474" t="s">
        <v>3521</v>
      </c>
      <c r="Q57" s="3474" t="s">
        <v>3687</v>
      </c>
      <c r="R57" s="3474">
        <v>1745</v>
      </c>
      <c r="S57" s="3474">
        <v>523.5</v>
      </c>
      <c r="T57" s="3474">
        <v>34.9</v>
      </c>
      <c r="U57" s="3474">
        <v>238</v>
      </c>
      <c r="V57" s="3474">
        <v>0</v>
      </c>
    </row>
    <row r="58" spans="1:22" hidden="1">
      <c r="A58" s="3474" t="s">
        <v>3673</v>
      </c>
      <c r="B58" s="3474" t="s">
        <v>3384</v>
      </c>
      <c r="C58" s="3474" t="s">
        <v>3511</v>
      </c>
      <c r="D58" s="3474" t="s">
        <v>3688</v>
      </c>
      <c r="E58" s="3474" t="s">
        <v>3689</v>
      </c>
      <c r="F58" s="3474">
        <v>40038.800000000003</v>
      </c>
      <c r="G58" s="3474">
        <v>60058.2</v>
      </c>
      <c r="H58" s="3474" t="s">
        <v>3514</v>
      </c>
      <c r="I58" s="3474" t="s">
        <v>3690</v>
      </c>
      <c r="J58" s="3474" t="s">
        <v>3574</v>
      </c>
      <c r="K58" s="3474" t="s">
        <v>3517</v>
      </c>
      <c r="L58" s="3474" t="s">
        <v>3604</v>
      </c>
      <c r="M58" s="3474" t="s">
        <v>3519</v>
      </c>
      <c r="N58" s="3474" t="s">
        <v>3520</v>
      </c>
      <c r="O58" s="3475">
        <v>42947.000497685185</v>
      </c>
      <c r="P58" s="3474" t="s">
        <v>3521</v>
      </c>
      <c r="Q58" s="3474" t="s">
        <v>3691</v>
      </c>
      <c r="R58" s="3474">
        <v>2002</v>
      </c>
      <c r="S58" s="3474">
        <v>500.01</v>
      </c>
      <c r="T58" s="3474">
        <v>33.33</v>
      </c>
      <c r="U58" s="3474">
        <v>333</v>
      </c>
      <c r="V58" s="3474">
        <v>0</v>
      </c>
    </row>
    <row r="59" spans="1:22" hidden="1">
      <c r="A59" s="3474" t="s">
        <v>3692</v>
      </c>
      <c r="B59" s="3474" t="s">
        <v>3384</v>
      </c>
      <c r="C59" s="3474" t="s">
        <v>3511</v>
      </c>
      <c r="D59" s="3474" t="s">
        <v>3685</v>
      </c>
      <c r="E59" s="3474" t="s">
        <v>3693</v>
      </c>
      <c r="F59" s="3474">
        <v>33333.4</v>
      </c>
      <c r="G59" s="3474">
        <v>73333.48</v>
      </c>
      <c r="H59" s="3474" t="s">
        <v>3514</v>
      </c>
      <c r="I59" s="3474" t="s">
        <v>3690</v>
      </c>
      <c r="J59" s="3474" t="s">
        <v>3574</v>
      </c>
      <c r="K59" s="3474" t="s">
        <v>3517</v>
      </c>
      <c r="L59" s="3474" t="s">
        <v>3626</v>
      </c>
      <c r="M59" s="3474" t="s">
        <v>3519</v>
      </c>
      <c r="N59" s="3474" t="s">
        <v>3520</v>
      </c>
      <c r="O59" s="3475">
        <v>42947.000497685185</v>
      </c>
      <c r="P59" s="3474" t="s">
        <v>3521</v>
      </c>
      <c r="Q59" s="3474" t="s">
        <v>3694</v>
      </c>
      <c r="R59" s="3474">
        <v>1745</v>
      </c>
      <c r="S59" s="3474">
        <v>523.49</v>
      </c>
      <c r="T59" s="3474">
        <v>34.9</v>
      </c>
      <c r="U59" s="3474">
        <v>238</v>
      </c>
      <c r="V59" s="3474">
        <v>0</v>
      </c>
    </row>
    <row r="60" spans="1:22" hidden="1">
      <c r="A60" s="3474" t="s">
        <v>3675</v>
      </c>
      <c r="B60" s="3474" t="s">
        <v>3384</v>
      </c>
      <c r="C60" s="3474" t="s">
        <v>3511</v>
      </c>
      <c r="D60" s="3474" t="s">
        <v>3512</v>
      </c>
      <c r="E60" s="3474" t="s">
        <v>3695</v>
      </c>
      <c r="F60" s="3474">
        <v>126210.8</v>
      </c>
      <c r="G60" s="3474">
        <v>126210.8</v>
      </c>
      <c r="H60" s="3474" t="s">
        <v>3514</v>
      </c>
      <c r="I60" s="3474" t="s">
        <v>3514</v>
      </c>
      <c r="J60" s="3474" t="s">
        <v>3574</v>
      </c>
      <c r="K60" s="3474" t="s">
        <v>3517</v>
      </c>
      <c r="L60" s="3474" t="s">
        <v>3696</v>
      </c>
      <c r="M60" s="3474" t="s">
        <v>3519</v>
      </c>
      <c r="N60" s="3474" t="s">
        <v>3520</v>
      </c>
      <c r="O60" s="3475">
        <v>42852.000497685185</v>
      </c>
      <c r="P60" s="3474" t="s">
        <v>3521</v>
      </c>
      <c r="Q60" s="3474" t="s">
        <v>3697</v>
      </c>
      <c r="R60" s="3474">
        <v>6187</v>
      </c>
      <c r="S60" s="3474">
        <v>490.21</v>
      </c>
      <c r="T60" s="3474">
        <v>32.68</v>
      </c>
      <c r="U60" s="3474">
        <v>490</v>
      </c>
      <c r="V60" s="3474">
        <v>0</v>
      </c>
    </row>
    <row r="61" spans="1:22" hidden="1">
      <c r="A61" s="3474" t="s">
        <v>3675</v>
      </c>
      <c r="B61" s="3474" t="s">
        <v>3384</v>
      </c>
      <c r="C61" s="3474" t="s">
        <v>3511</v>
      </c>
      <c r="D61" s="3474" t="s">
        <v>3512</v>
      </c>
      <c r="E61" s="3474" t="s">
        <v>3698</v>
      </c>
      <c r="F61" s="3474">
        <v>105970.3</v>
      </c>
      <c r="G61" s="3474">
        <v>158955.5</v>
      </c>
      <c r="H61" s="3474" t="s">
        <v>3514</v>
      </c>
      <c r="I61" s="3474" t="s">
        <v>3514</v>
      </c>
      <c r="J61" s="3474" t="s">
        <v>3574</v>
      </c>
      <c r="K61" s="3474" t="s">
        <v>3517</v>
      </c>
      <c r="L61" s="3474" t="s">
        <v>3699</v>
      </c>
      <c r="M61" s="3474" t="s">
        <v>3519</v>
      </c>
      <c r="N61" s="3474" t="s">
        <v>3520</v>
      </c>
      <c r="O61" s="3475">
        <v>42852.000497685185</v>
      </c>
      <c r="P61" s="3474" t="s">
        <v>3521</v>
      </c>
      <c r="Q61" s="3474" t="s">
        <v>3700</v>
      </c>
      <c r="R61" s="3474">
        <v>5162</v>
      </c>
      <c r="S61" s="3474">
        <v>487.11</v>
      </c>
      <c r="T61" s="3474">
        <v>32.47</v>
      </c>
      <c r="U61" s="3474">
        <v>325</v>
      </c>
      <c r="V61" s="3474">
        <v>0</v>
      </c>
    </row>
    <row r="67" spans="1:1" ht="13.5">
      <c r="A67" s="3481" t="s">
        <v>3707</v>
      </c>
    </row>
  </sheetData>
  <phoneticPr fontId="134" type="noConversion"/>
  <hyperlinks>
    <hyperlink ref="A67" r:id="rId1"/>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0" zoomScaleNormal="70" zoomScaleSheetLayoutView="8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3392</v>
      </c>
      <c r="D1" s="1360" t="s">
        <v>43</v>
      </c>
      <c r="E1" s="1361" t="s">
        <v>678</v>
      </c>
      <c r="F1" s="1062">
        <f ca="1">J53</f>
        <v>46.63</v>
      </c>
      <c r="G1" s="1376">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90136</v>
      </c>
      <c r="C2" s="1385" t="s">
        <v>805</v>
      </c>
      <c r="D2" s="1385"/>
      <c r="E2" s="1386"/>
      <c r="F2" s="1387"/>
      <c r="G2" s="2702"/>
      <c r="H2" s="2691"/>
      <c r="I2" s="2691"/>
      <c r="J2" s="2691"/>
      <c r="K2" s="2692"/>
      <c r="L2" s="2691"/>
      <c r="M2" s="2691"/>
    </row>
    <row r="3" spans="1:37" ht="18" customHeight="1" thickBot="1">
      <c r="A3" s="1388" t="s">
        <v>806</v>
      </c>
      <c r="B3" s="1389">
        <f ca="1">IF(ISERROR(B2*10000/F43),0,ROUND(B2*10000/F43,0))</f>
        <v>3327</v>
      </c>
      <c r="C3" s="1385" t="s">
        <v>807</v>
      </c>
      <c r="D3" s="1385"/>
      <c r="E3" s="1386"/>
      <c r="F3" s="1387"/>
      <c r="G3" s="2702"/>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4985</v>
      </c>
      <c r="D5" s="1362" t="s">
        <v>693</v>
      </c>
      <c r="E5" s="1071"/>
      <c r="F5" s="1072"/>
      <c r="G5" s="1382"/>
      <c r="H5" s="299">
        <v>1</v>
      </c>
      <c r="I5" s="300" t="s">
        <v>692</v>
      </c>
      <c r="J5" s="1070">
        <f ca="1">J6+J10+J12</f>
        <v>0</v>
      </c>
      <c r="K5" s="1362" t="s">
        <v>693</v>
      </c>
      <c r="L5" s="1071"/>
      <c r="M5" s="1072"/>
    </row>
    <row r="6" spans="1:37" ht="18" customHeight="1">
      <c r="A6" s="1069" t="s">
        <v>398</v>
      </c>
      <c r="B6" s="3769" t="s">
        <v>694</v>
      </c>
      <c r="C6" s="1074">
        <f ca="1">ROUND(F6*F8*F7*(1-F9)/10000,0)</f>
        <v>4979</v>
      </c>
      <c r="D6" s="155" t="s">
        <v>2105</v>
      </c>
      <c r="E6" s="302" t="s">
        <v>696</v>
      </c>
      <c r="F6" s="303">
        <f ca="1">INDIRECT("'数据-取费表'!u"&amp;$G$1)</f>
        <v>0.6</v>
      </c>
      <c r="G6" s="1382"/>
      <c r="H6" s="1069" t="s">
        <v>398</v>
      </c>
      <c r="I6" s="3769" t="s">
        <v>694</v>
      </c>
      <c r="J6" s="301">
        <f ca="1">ROUND(M6*M8*M7*(1-M9)/10000,0)</f>
        <v>0</v>
      </c>
      <c r="K6" s="155" t="s">
        <v>2104</v>
      </c>
      <c r="L6" s="302" t="s">
        <v>696</v>
      </c>
      <c r="M6" s="303">
        <f ca="1">INDIRECT("'数据-取费表'!z"&amp;$G$1)</f>
        <v>0</v>
      </c>
    </row>
    <row r="7" spans="1:37" ht="18" customHeight="1">
      <c r="A7" s="1073"/>
      <c r="B7" s="3770"/>
      <c r="C7" s="1075"/>
      <c r="D7" s="307"/>
      <c r="E7" s="1076" t="s">
        <v>697</v>
      </c>
      <c r="F7" s="303">
        <f ca="1">IF(INDIRECT("'数据-取费表'!ah"&amp;$G$1)="",INDIRECT("'数据-取费表'!k"&amp;$G$1),INDIRECT("'数据-取费表'!ah"&amp;$G$1))</f>
        <v>252627.15000000002</v>
      </c>
      <c r="G7" s="1382"/>
      <c r="H7" s="304"/>
      <c r="I7" s="3770"/>
      <c r="J7" s="306"/>
      <c r="K7" s="307"/>
      <c r="L7" s="302" t="s">
        <v>697</v>
      </c>
      <c r="M7" s="303">
        <f ca="1">F7</f>
        <v>252627.15000000002</v>
      </c>
    </row>
    <row r="8" spans="1:37" ht="18" customHeight="1">
      <c r="A8" s="304"/>
      <c r="B8" s="3770"/>
      <c r="C8" s="306"/>
      <c r="D8" s="307"/>
      <c r="E8" s="302" t="s">
        <v>698</v>
      </c>
      <c r="F8" s="303">
        <f ca="1">INDIRECT("'数据-取费表'!ai"&amp;$G$1)</f>
        <v>365</v>
      </c>
      <c r="G8" s="1382"/>
      <c r="H8" s="304"/>
      <c r="I8" s="3770"/>
      <c r="J8" s="306"/>
      <c r="K8" s="307"/>
      <c r="L8" s="302" t="s">
        <v>698</v>
      </c>
      <c r="M8" s="303">
        <f ca="1">INDIRECT("'数据-取费表'!ai"&amp;$G$1)</f>
        <v>365</v>
      </c>
    </row>
    <row r="9" spans="1:37" ht="18" customHeight="1">
      <c r="A9" s="304"/>
      <c r="B9" s="3771"/>
      <c r="C9" s="306"/>
      <c r="D9" s="307"/>
      <c r="E9" s="302" t="s">
        <v>699</v>
      </c>
      <c r="F9" s="312">
        <f ca="1">INDIRECT("'数据-取费表'!w"&amp;$G$1)</f>
        <v>0.1</v>
      </c>
      <c r="G9" s="1382"/>
      <c r="H9" s="304"/>
      <c r="I9" s="3771"/>
      <c r="J9" s="306"/>
      <c r="K9" s="307"/>
      <c r="L9" s="313" t="s">
        <v>699</v>
      </c>
      <c r="M9" s="314">
        <f ca="1">INDIRECT("'数据-取费表'!ab"&amp;$G$1)</f>
        <v>0</v>
      </c>
    </row>
    <row r="10" spans="1:37" ht="18" customHeight="1">
      <c r="A10" s="1069" t="s">
        <v>402</v>
      </c>
      <c r="B10" s="1363" t="s">
        <v>700</v>
      </c>
      <c r="C10" s="316">
        <f ca="1">ROUND(IF(F10="押一",C6/12*F11,IF(F10="押二",C6/12*2*F11,IF(F10="押三",C6/12*3*F11,C11*F11))),0)</f>
        <v>6</v>
      </c>
      <c r="D10" s="1364" t="s">
        <v>2113</v>
      </c>
      <c r="E10" s="313" t="s">
        <v>701</v>
      </c>
      <c r="F10" s="1116" t="s">
        <v>3482</v>
      </c>
      <c r="G10" s="1382"/>
      <c r="H10" s="1069" t="s">
        <v>402</v>
      </c>
      <c r="I10" s="1363" t="s">
        <v>700</v>
      </c>
      <c r="J10" s="301">
        <f ca="1">ROUND(IF(M10="押一",J6/12*M11,IF(M10="押二",J6/12*2*M11,IF(M10="押三",J6/12*3*M11,J11*M11))),0)</f>
        <v>0</v>
      </c>
      <c r="K10" s="1364" t="s">
        <v>2112</v>
      </c>
      <c r="L10" s="313" t="s">
        <v>701</v>
      </c>
      <c r="M10" s="1116"/>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92162</v>
      </c>
      <c r="D13" s="1081" t="s">
        <v>705</v>
      </c>
      <c r="E13" s="1081" t="s">
        <v>706</v>
      </c>
      <c r="F13" s="1082">
        <f ca="1">INDIRECT("'数据-取费表'!y"&amp;$G$1)</f>
        <v>0.98</v>
      </c>
      <c r="G13" s="1382"/>
      <c r="H13" s="1079">
        <v>2</v>
      </c>
      <c r="I13" s="1080" t="s">
        <v>704</v>
      </c>
      <c r="J13" s="1068">
        <f ca="1">ROUND(J14*J15,0)</f>
        <v>0</v>
      </c>
      <c r="K13" s="1087" t="s">
        <v>705</v>
      </c>
      <c r="L13" s="1390"/>
      <c r="M13" s="1391"/>
    </row>
    <row r="14" spans="1:37" ht="18" customHeight="1">
      <c r="A14" s="982" t="s">
        <v>397</v>
      </c>
      <c r="B14" s="302" t="s">
        <v>707</v>
      </c>
      <c r="C14" s="318">
        <f ca="1">INDIRECT("'数据-取费表'!m"&amp;$G$1)+INDIRECT("'数据-取费表'!t"&amp;$G$1)</f>
        <v>66419</v>
      </c>
      <c r="D14" s="1343" t="s">
        <v>708</v>
      </c>
      <c r="E14" s="1340"/>
      <c r="F14" s="319"/>
      <c r="G14" s="1382"/>
      <c r="H14" s="982" t="s">
        <v>398</v>
      </c>
      <c r="I14" s="302" t="s">
        <v>709</v>
      </c>
      <c r="J14" s="21">
        <f ca="1">C29</f>
        <v>94043</v>
      </c>
      <c r="K14" s="12"/>
      <c r="L14" s="807"/>
      <c r="M14" s="808"/>
    </row>
    <row r="15" spans="1:37" s="1395" customFormat="1" ht="18" customHeight="1" thickBot="1">
      <c r="A15" s="982" t="s">
        <v>399</v>
      </c>
      <c r="B15" s="302" t="s">
        <v>710</v>
      </c>
      <c r="C15" s="21">
        <f ca="1">ROUND(C14*F15,0)</f>
        <v>1993</v>
      </c>
      <c r="D15" s="320" t="s">
        <v>711</v>
      </c>
      <c r="E15" s="320" t="s">
        <v>712</v>
      </c>
      <c r="F15" s="321">
        <f>'数据-取费表'!B33</f>
        <v>0.03</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9" t="s">
        <v>393</v>
      </c>
      <c r="I16" s="1080" t="s">
        <v>714</v>
      </c>
      <c r="J16" s="310">
        <f ca="1">ROUND(J17+J22+J23+J24,0)</f>
        <v>412</v>
      </c>
      <c r="K16" s="1087" t="s">
        <v>715</v>
      </c>
      <c r="L16" s="1088"/>
      <c r="M16" s="1072"/>
    </row>
    <row r="17" spans="1:37" s="1395" customFormat="1" ht="18" customHeight="1">
      <c r="A17" s="982" t="s">
        <v>681</v>
      </c>
      <c r="B17" s="302" t="s">
        <v>716</v>
      </c>
      <c r="C17" s="21">
        <f ca="1">ROUND(F17*(F43+INDIRECT("'数据-取费表'!S"&amp;$G$1))/10000,0)</f>
        <v>5419</v>
      </c>
      <c r="D17" s="302" t="s">
        <v>717</v>
      </c>
      <c r="E17" s="302" t="s">
        <v>718</v>
      </c>
      <c r="F17" s="23">
        <f>'数据-取费表'!B35</f>
        <v>200</v>
      </c>
      <c r="G17" s="1394"/>
      <c r="H17" s="982" t="s">
        <v>398</v>
      </c>
      <c r="I17" s="302" t="s">
        <v>719</v>
      </c>
      <c r="J17" s="2313">
        <f ca="1">ROUND(IF(AND(项目基本情况!B11="自然人",项目基本情况!B10="北京市"),J6*M17/(1+'数据-取费表'!C42),J18+J19+J20),2)</f>
        <v>36.31</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1328</v>
      </c>
      <c r="D18" s="302" t="s">
        <v>711</v>
      </c>
      <c r="E18" s="302" t="s">
        <v>712</v>
      </c>
      <c r="F18" s="322">
        <f>'数据-取费表'!B36</f>
        <v>0.02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75159</v>
      </c>
      <c r="D19" s="131" t="s">
        <v>726</v>
      </c>
      <c r="E19" s="1358"/>
      <c r="F19" s="23"/>
      <c r="G19" s="1382"/>
      <c r="H19" s="982" t="s">
        <v>399</v>
      </c>
      <c r="I19" s="302" t="s">
        <v>727</v>
      </c>
      <c r="J19" s="21">
        <f ca="1">IF(K19="按租金收入计税",ROUND(J6*M19/(1+'数据-取费表'!C42),2),ROUND(C29*M19*0.7,2))</f>
        <v>0</v>
      </c>
      <c r="K19" s="1368" t="s">
        <v>3334</v>
      </c>
      <c r="L19" s="302" t="s">
        <v>712</v>
      </c>
      <c r="M19" s="322">
        <f>IF(K19="按租金收入计税",'数据-取费表'!B51,'数据-取费表'!B50)</f>
        <v>0.12</v>
      </c>
    </row>
    <row r="20" spans="1:37" s="1395" customFormat="1" ht="18" customHeight="1">
      <c r="A20" s="982" t="s">
        <v>402</v>
      </c>
      <c r="B20" s="302" t="s">
        <v>728</v>
      </c>
      <c r="C20" s="21">
        <f ca="1">ROUND(C19*F20,0)</f>
        <v>1503</v>
      </c>
      <c r="D20" s="323" t="s">
        <v>729</v>
      </c>
      <c r="E20" s="302" t="s">
        <v>712</v>
      </c>
      <c r="F20" s="322">
        <f>'数据-取费表'!B37</f>
        <v>0.02</v>
      </c>
      <c r="G20" s="1394"/>
      <c r="H20" s="982" t="s">
        <v>680</v>
      </c>
      <c r="I20" s="155" t="s">
        <v>730</v>
      </c>
      <c r="J20" s="22">
        <f ca="1">ROUND(M20*M21/10000,2)</f>
        <v>36.31</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242044.6</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376.17</v>
      </c>
      <c r="K22" s="1342" t="s">
        <v>739</v>
      </c>
      <c r="L22" s="302" t="s">
        <v>712</v>
      </c>
      <c r="M22" s="328">
        <f ca="1">INDIRECT("'数据-取费表'!Ak"&amp;$G$1)</f>
        <v>4.0000000000000001E-3</v>
      </c>
    </row>
    <row r="23" spans="1:37" s="1395" customFormat="1" ht="18" customHeight="1">
      <c r="A23" s="982" t="s">
        <v>397</v>
      </c>
      <c r="B23" s="302" t="s">
        <v>740</v>
      </c>
      <c r="C23" s="21">
        <f ca="1">IF('数据-取费表'!B22&lt;=1,ROUND(C19*F24*F23/2,0)+ROUND(C20*F24*F23/2,0),ROUND(C19*(POWER((1+F24),F23/2)-1),0)+ROUND(C20*(POWER((1+F24),F23/2)-1),0))</f>
        <v>2568</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4"/>
      <c r="H24" s="1089" t="s">
        <v>684</v>
      </c>
      <c r="I24" s="1090" t="s">
        <v>728</v>
      </c>
      <c r="J24" s="1091">
        <f ca="1">ROUND(J5*M24,2)</f>
        <v>0</v>
      </c>
      <c r="K24" s="1092" t="s">
        <v>748</v>
      </c>
      <c r="L24" s="1090" t="s">
        <v>744</v>
      </c>
      <c r="M24" s="1086">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9" t="s">
        <v>394</v>
      </c>
      <c r="I25" s="1094" t="s">
        <v>752</v>
      </c>
      <c r="J25" s="310">
        <f ca="1">J5-J16</f>
        <v>-412</v>
      </c>
      <c r="K25" s="1095" t="s">
        <v>753</v>
      </c>
      <c r="L25" s="1096"/>
      <c r="M25" s="1097"/>
    </row>
    <row r="26" spans="1:37">
      <c r="A26" s="982" t="s">
        <v>397</v>
      </c>
      <c r="B26" s="302" t="s">
        <v>754</v>
      </c>
      <c r="C26" s="21">
        <f ca="1">ROUND((C19+C20)*F26,0)</f>
        <v>7666</v>
      </c>
      <c r="D26" s="323"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94043</v>
      </c>
      <c r="D29" s="1092"/>
      <c r="E29" s="1090"/>
      <c r="F29" s="1093"/>
      <c r="G29" s="1394"/>
      <c r="H29" s="334" t="s">
        <v>396</v>
      </c>
      <c r="I29" s="335" t="s">
        <v>768</v>
      </c>
      <c r="J29" s="336">
        <f ca="1">ROUND(J26/(1+F40)^F41,0)</f>
        <v>0</v>
      </c>
      <c r="K29" s="337" t="s">
        <v>769</v>
      </c>
      <c r="L29" s="338"/>
      <c r="M29" s="339">
        <f ca="1">INDIRECT("'数据-取费表'!k"&amp;$G$1)</f>
        <v>270951.53999999998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1389</v>
      </c>
      <c r="D30" s="1087" t="s">
        <v>715</v>
      </c>
      <c r="E30" s="1088"/>
      <c r="F30" s="1072"/>
      <c r="G30" s="1382"/>
      <c r="H30" s="2693"/>
      <c r="I30" s="1396"/>
      <c r="J30" s="1397"/>
      <c r="K30" s="2471"/>
      <c r="L30" s="2694"/>
      <c r="M30" s="2695"/>
    </row>
    <row r="31" spans="1:37" ht="18" customHeight="1">
      <c r="A31" s="982" t="s">
        <v>398</v>
      </c>
      <c r="B31" s="302" t="s">
        <v>719</v>
      </c>
      <c r="C31" s="2313">
        <f ca="1">ROUND(IF(AND(项目基本情况!B11="自然人",项目基本情况!B10="北京市"),C6*F31/(1+'数据-取费表'!C42),C32+C33+C34),2)</f>
        <v>870.89</v>
      </c>
      <c r="D31" s="1343" t="s">
        <v>720</v>
      </c>
      <c r="E31" s="1342" t="s">
        <v>770</v>
      </c>
      <c r="F31" s="2312" t="str">
        <f>IF(项目基本情况!B11="企业","——",IF(M47="住宅",IF(F6*F7*F8/12/(1+'数据-取费表'!F30)&gt;100000,4%,2.5%),IF(F6*F7*F8/12/(1+'数据-取费表'!F30)&gt;100000,12%,7%)))</f>
        <v>——</v>
      </c>
      <c r="G31" s="1382"/>
      <c r="H31" s="2804" t="s">
        <v>2304</v>
      </c>
      <c r="I31" s="1396"/>
      <c r="J31" s="1397"/>
      <c r="K31" s="2471"/>
      <c r="L31" s="2694"/>
      <c r="M31" s="2695"/>
    </row>
    <row r="32" spans="1:37" ht="18" customHeight="1">
      <c r="A32" s="982" t="s">
        <v>397</v>
      </c>
      <c r="B32" s="302" t="s">
        <v>723</v>
      </c>
      <c r="C32" s="21">
        <f ca="1">IF(项目基本情况!B11="自然人","——",ROUND(C6*F32/(1+'数据-取费表'!C42),2))</f>
        <v>265.55</v>
      </c>
      <c r="D32" s="1342" t="s">
        <v>724</v>
      </c>
      <c r="E32" s="302" t="s">
        <v>712</v>
      </c>
      <c r="F32" s="331">
        <f>'数据-取费表'!B41</f>
        <v>5.6000000000000001E-2</v>
      </c>
      <c r="G32" s="1382"/>
      <c r="H32" s="2693"/>
      <c r="I32" s="1396"/>
      <c r="J32" s="1397"/>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569.03</v>
      </c>
      <c r="D33" s="1368" t="s">
        <v>3334</v>
      </c>
      <c r="E33" s="302" t="s">
        <v>712</v>
      </c>
      <c r="F33" s="322">
        <f>IF(D33="按票据","——",IF(D33="按租金收入计税",'数据-取费表'!B51,'数据-取费表'!B50))</f>
        <v>0.12</v>
      </c>
      <c r="G33" s="1382"/>
      <c r="H33" s="2696"/>
      <c r="I33" s="1396"/>
      <c r="J33" s="1397"/>
      <c r="K33" s="2697"/>
      <c r="L33" s="2696"/>
      <c r="M33" s="2696"/>
    </row>
    <row r="34" spans="1:18" ht="18" customHeight="1">
      <c r="A34" s="1069" t="s">
        <v>680</v>
      </c>
      <c r="B34" s="155" t="s">
        <v>730</v>
      </c>
      <c r="C34" s="22">
        <f ca="1">IF(项目基本情况!B11="自然人","——",ROUND(F34*F35/10000,2))</f>
        <v>36.31</v>
      </c>
      <c r="D34" s="324" t="s">
        <v>731</v>
      </c>
      <c r="E34" s="302" t="s">
        <v>732</v>
      </c>
      <c r="F34" s="325">
        <f>'数据-取费表'!B52</f>
        <v>1.5</v>
      </c>
      <c r="G34" s="1382"/>
      <c r="H34" s="2693"/>
      <c r="I34" s="1396"/>
      <c r="J34" s="1397"/>
      <c r="K34" s="2698"/>
      <c r="L34" s="2699"/>
      <c r="M34" s="2699"/>
    </row>
    <row r="35" spans="1:18" ht="18" customHeight="1">
      <c r="A35" s="1103"/>
      <c r="B35" s="1101"/>
      <c r="C35" s="26"/>
      <c r="D35" s="327"/>
      <c r="E35" s="302" t="s">
        <v>736</v>
      </c>
      <c r="F35" s="303">
        <f ca="1">INDIRECT("'数据-取费表'!r"&amp;$G$1)</f>
        <v>242044.6</v>
      </c>
      <c r="G35" s="1382"/>
      <c r="H35" s="2693"/>
      <c r="I35" s="1396"/>
      <c r="J35" s="1397"/>
      <c r="K35" s="2697"/>
      <c r="L35" s="2696"/>
      <c r="M35" s="2696"/>
    </row>
    <row r="36" spans="1:18" ht="18" customHeight="1">
      <c r="A36" s="1102" t="s">
        <v>402</v>
      </c>
      <c r="B36" s="302" t="s">
        <v>738</v>
      </c>
      <c r="C36" s="21">
        <f ca="1">ROUND(C29*F36,2)</f>
        <v>376.17</v>
      </c>
      <c r="D36" s="1342" t="s">
        <v>771</v>
      </c>
      <c r="E36" s="302" t="s">
        <v>712</v>
      </c>
      <c r="F36" s="328">
        <f ca="1">INDIRECT("'数据-取费表'!Ak"&amp;$G$1)</f>
        <v>4.0000000000000001E-3</v>
      </c>
      <c r="G36" s="1382"/>
      <c r="H36" s="2696"/>
      <c r="I36" s="1396"/>
      <c r="J36" s="1397"/>
      <c r="K36" s="2540"/>
      <c r="L36" s="2696"/>
      <c r="M36" s="2696"/>
    </row>
    <row r="37" spans="1:18" ht="18" customHeight="1">
      <c r="A37" s="982" t="s">
        <v>437</v>
      </c>
      <c r="B37" s="302" t="s">
        <v>742</v>
      </c>
      <c r="C37" s="21">
        <f ca="1">ROUND(C13*F37,2)</f>
        <v>92.16</v>
      </c>
      <c r="D37" s="1342" t="s">
        <v>743</v>
      </c>
      <c r="E37" s="302" t="s">
        <v>744</v>
      </c>
      <c r="F37" s="330">
        <f ca="1">INDIRECT("'数据-取费表'!Al"&amp;$G$1)</f>
        <v>1E-3</v>
      </c>
      <c r="G37" s="1382"/>
      <c r="H37" s="2696"/>
      <c r="I37" s="1396"/>
      <c r="J37" s="1397"/>
      <c r="K37" s="2540"/>
      <c r="L37" s="2696"/>
      <c r="M37" s="2696"/>
    </row>
    <row r="38" spans="1:18" ht="18" customHeight="1" thickBot="1">
      <c r="A38" s="1089" t="s">
        <v>684</v>
      </c>
      <c r="B38" s="1090" t="s">
        <v>728</v>
      </c>
      <c r="C38" s="1091">
        <f ca="1">ROUND(C5*F38,2)</f>
        <v>49.85</v>
      </c>
      <c r="D38" s="1092" t="s">
        <v>748</v>
      </c>
      <c r="E38" s="1090" t="s">
        <v>744</v>
      </c>
      <c r="F38" s="1086">
        <f ca="1">INDIRECT("'数据-取费表'!Am"&amp;$G$1)</f>
        <v>0.01</v>
      </c>
      <c r="G38" s="1382"/>
      <c r="H38" s="2696"/>
      <c r="I38" s="1396"/>
      <c r="J38" s="1397"/>
      <c r="K38" s="2700"/>
      <c r="L38" s="2696"/>
      <c r="M38" s="2696"/>
    </row>
    <row r="39" spans="1:18" ht="24.6" customHeight="1" thickTop="1">
      <c r="A39" s="1079" t="s">
        <v>394</v>
      </c>
      <c r="B39" s="1094" t="s">
        <v>772</v>
      </c>
      <c r="C39" s="310">
        <f ca="1">C5-C30</f>
        <v>3596</v>
      </c>
      <c r="D39" s="1095" t="s">
        <v>773</v>
      </c>
      <c r="E39" s="1096"/>
      <c r="F39" s="1097"/>
      <c r="G39" s="1382"/>
      <c r="H39" s="2696"/>
      <c r="I39" s="1396"/>
      <c r="J39" s="1397"/>
      <c r="K39" s="2700"/>
      <c r="L39" s="2696"/>
      <c r="M39" s="2696"/>
    </row>
    <row r="40" spans="1:18" ht="18" customHeight="1">
      <c r="A40" s="299" t="s">
        <v>395</v>
      </c>
      <c r="B40" s="300" t="s">
        <v>774</v>
      </c>
      <c r="C40" s="301">
        <f ca="1">ROUND(C39*(1-((1+F42)/(1+F40))^F41)/(F40-F42),0)</f>
        <v>88845</v>
      </c>
      <c r="D40" s="324" t="s">
        <v>758</v>
      </c>
      <c r="E40" s="302" t="s">
        <v>759</v>
      </c>
      <c r="F40" s="312">
        <f ca="1">INDIRECT("'数据-取费表'!I"&amp;$G$1)</f>
        <v>0.05</v>
      </c>
      <c r="G40" s="1382"/>
      <c r="H40" s="1459"/>
      <c r="I40" s="1396"/>
      <c r="J40" s="1397"/>
      <c r="K40" s="2700"/>
      <c r="L40" s="1459"/>
      <c r="M40" s="1459"/>
    </row>
    <row r="41" spans="1:18" ht="18" customHeight="1">
      <c r="A41" s="304"/>
      <c r="B41" s="305"/>
      <c r="C41" s="306"/>
      <c r="D41" s="332" t="s">
        <v>775</v>
      </c>
      <c r="E41" s="302" t="s">
        <v>763</v>
      </c>
      <c r="F41" s="333">
        <f ca="1">IF(INDIRECT("'数据-取费表'!af"&amp;$G$1)=0,INDIRECT("'数据-取费表'!ae"&amp;$G$1),INDIRECT("'数据-取费表'!af"&amp;$G$1))</f>
        <v>46.63</v>
      </c>
      <c r="G41" s="1382"/>
      <c r="H41" s="1190"/>
      <c r="I41" s="1396"/>
      <c r="J41" s="1397"/>
      <c r="K41" s="2540"/>
      <c r="L41" s="1190"/>
      <c r="M41" s="1190"/>
    </row>
    <row r="42" spans="1:18" ht="18" customHeight="1">
      <c r="A42" s="308"/>
      <c r="B42" s="309"/>
      <c r="C42" s="310"/>
      <c r="D42" s="327"/>
      <c r="E42" s="302" t="s">
        <v>766</v>
      </c>
      <c r="F42" s="312">
        <f ca="1">INDIRECT("'数据-取费表'!v"&amp;$G$1)</f>
        <v>0.02</v>
      </c>
      <c r="G42" s="1382"/>
      <c r="H42" s="1190"/>
      <c r="I42" s="1396"/>
      <c r="J42" s="1397"/>
      <c r="K42" s="2540"/>
      <c r="L42" s="1190"/>
      <c r="M42" s="1190"/>
    </row>
    <row r="43" spans="1:18" ht="18" customHeight="1" thickBot="1">
      <c r="A43" s="334" t="s">
        <v>396</v>
      </c>
      <c r="B43" s="335" t="s">
        <v>776</v>
      </c>
      <c r="C43" s="336">
        <f ca="1">ROUND(C40*10000/F43,0)</f>
        <v>3279</v>
      </c>
      <c r="D43" s="337" t="s">
        <v>777</v>
      </c>
      <c r="E43" s="338" t="s">
        <v>778</v>
      </c>
      <c r="F43" s="339">
        <f ca="1">INDIRECT("'数据-取费表'!k"&amp;$G$1)</f>
        <v>270951.53999999998</v>
      </c>
      <c r="G43" s="1382"/>
      <c r="H43" s="1190"/>
      <c r="I43" s="1190"/>
      <c r="J43" s="1190"/>
      <c r="K43" s="2540"/>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1" t="s">
        <v>808</v>
      </c>
      <c r="P45" s="1459"/>
      <c r="Q45" s="1459"/>
      <c r="R45" s="1459"/>
    </row>
    <row r="46" spans="1:18" s="1382" customFormat="1" ht="13.5" thickBot="1">
      <c r="A46" s="1402" t="s">
        <v>809</v>
      </c>
      <c r="C46" s="1403">
        <f ca="1">C68-C40</f>
        <v>-97889</v>
      </c>
      <c r="D46" s="1404" t="str">
        <f>C2</f>
        <v>万元</v>
      </c>
      <c r="E46" s="1398"/>
      <c r="F46" s="1398"/>
      <c r="I46" s="1405" t="s">
        <v>810</v>
      </c>
      <c r="J46" s="1406"/>
      <c r="K46" s="1407"/>
      <c r="L46" s="1408">
        <f ca="1">IF(M47="住宅",0,IF(L48&gt;J51,L60,J60))</f>
        <v>1291</v>
      </c>
      <c r="O46" s="1409" t="s">
        <v>811</v>
      </c>
      <c r="P46" s="1410" t="s">
        <v>812</v>
      </c>
      <c r="Q46" s="1411" t="s">
        <v>813</v>
      </c>
      <c r="R46" s="1411" t="s">
        <v>814</v>
      </c>
    </row>
    <row r="47" spans="1:18" s="1382" customFormat="1" ht="13.5" thickBot="1">
      <c r="A47" s="946" t="s">
        <v>687</v>
      </c>
      <c r="B47" s="978" t="s">
        <v>688</v>
      </c>
      <c r="C47" s="1117" t="s">
        <v>689</v>
      </c>
      <c r="D47" s="978" t="s">
        <v>690</v>
      </c>
      <c r="E47" s="1058" t="s">
        <v>691</v>
      </c>
      <c r="F47" s="1059"/>
      <c r="G47" s="722"/>
      <c r="I47" s="1412" t="s">
        <v>815</v>
      </c>
      <c r="J47" s="1413" t="s">
        <v>3446</v>
      </c>
      <c r="K47" s="1414" t="s">
        <v>816</v>
      </c>
      <c r="L47" s="1415">
        <f ca="1">INDIRECT("'数据-取费表'!d"&amp;$G$1)</f>
        <v>50</v>
      </c>
      <c r="M47" s="1378" t="str">
        <f>IF(ISNUMBER(FIND("住宅",C1)),"住宅","非住宅")</f>
        <v>非住宅</v>
      </c>
      <c r="O47" s="1416" t="s">
        <v>403</v>
      </c>
      <c r="P47" s="1417" t="s">
        <v>817</v>
      </c>
      <c r="Q47" s="1418">
        <f ca="1">C40+J29</f>
        <v>88845</v>
      </c>
      <c r="R47" s="1418" t="s">
        <v>818</v>
      </c>
    </row>
    <row r="48" spans="1:18" s="1382" customFormat="1" ht="28.5" thickBot="1">
      <c r="A48" s="1110" t="s">
        <v>438</v>
      </c>
      <c r="B48" s="300" t="s">
        <v>692</v>
      </c>
      <c r="C48" s="1357">
        <f ca="1">C49+C53+C55</f>
        <v>0</v>
      </c>
      <c r="D48" s="1112"/>
      <c r="E48" s="1113"/>
      <c r="F48" s="962"/>
      <c r="G48" s="722"/>
      <c r="H48" s="723"/>
      <c r="I48" s="1419" t="s">
        <v>819</v>
      </c>
      <c r="J48" s="1420" t="s">
        <v>3454</v>
      </c>
      <c r="K48" s="1421" t="s">
        <v>820</v>
      </c>
      <c r="L48" s="1422">
        <f ca="1">INDIRECT("'数据-取费表'!f"&amp;$G$1)</f>
        <v>46.63</v>
      </c>
      <c r="O48" s="1416" t="s">
        <v>404</v>
      </c>
      <c r="P48" s="1417" t="s">
        <v>821</v>
      </c>
      <c r="Q48" s="1418">
        <f ca="1">J60</f>
        <v>1291</v>
      </c>
      <c r="R48" s="1418" t="s">
        <v>822</v>
      </c>
    </row>
    <row r="49" spans="1:18" s="1382" customFormat="1" ht="13.5" thickBot="1">
      <c r="A49" s="975" t="s">
        <v>439</v>
      </c>
      <c r="B49" s="1369" t="s">
        <v>779</v>
      </c>
      <c r="C49" s="1114">
        <f ca="1">ROUND(F49*F51*F50*(1-F52)/10000,0)</f>
        <v>0</v>
      </c>
      <c r="D49" s="1055" t="s">
        <v>2106</v>
      </c>
      <c r="E49" s="1370" t="s">
        <v>780</v>
      </c>
      <c r="F49" s="1060"/>
      <c r="G49" s="1423"/>
      <c r="H49" s="723"/>
      <c r="I49" s="1419" t="s">
        <v>823</v>
      </c>
      <c r="J49" s="1424">
        <f>'数据-取费表'!N19</f>
        <v>2023</v>
      </c>
      <c r="K49" s="1421" t="s">
        <v>824</v>
      </c>
      <c r="L49" s="1425"/>
      <c r="O49" s="1426" t="s">
        <v>405</v>
      </c>
      <c r="P49" s="1417" t="s">
        <v>825</v>
      </c>
      <c r="Q49" s="1418">
        <f ca="1">C29</f>
        <v>94043</v>
      </c>
      <c r="R49" s="1418" t="s">
        <v>818</v>
      </c>
    </row>
    <row r="50" spans="1:18" s="1382" customFormat="1" ht="13.5" thickBot="1">
      <c r="A50" s="976"/>
      <c r="B50" s="979"/>
      <c r="C50" s="1118"/>
      <c r="D50" s="953"/>
      <c r="E50" s="1056" t="s">
        <v>697</v>
      </c>
      <c r="F50" s="1057">
        <f ca="1">F7</f>
        <v>252627.15000000002</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7"/>
      <c r="B51" s="979"/>
      <c r="C51" s="980"/>
      <c r="D51" s="953"/>
      <c r="E51" s="981" t="s">
        <v>698</v>
      </c>
      <c r="F51" s="303">
        <f ca="1">F8</f>
        <v>365</v>
      </c>
      <c r="I51" s="1430" t="s">
        <v>829</v>
      </c>
      <c r="J51" s="1431">
        <f>IF(J49="",J50,J49+J50-YEAR('数据-取费表'!B2))</f>
        <v>59</v>
      </c>
      <c r="K51" s="1432" t="s">
        <v>830</v>
      </c>
      <c r="L51" s="1433">
        <f ca="1">ROUND(-PV(INDIRECT("'数据-取费表'!h"&amp;$G$1),J51,(C39-C13*C76),0),0)</f>
        <v>-58725</v>
      </c>
      <c r="M51" s="1434"/>
      <c r="O51" s="1426" t="s">
        <v>407</v>
      </c>
      <c r="P51" s="1417" t="s">
        <v>831</v>
      </c>
      <c r="Q51" s="1429">
        <f>J52</f>
        <v>7.5000000000000011E-2</v>
      </c>
      <c r="R51" s="1418"/>
    </row>
    <row r="52" spans="1:18" s="1382" customFormat="1" ht="13.5" thickBot="1">
      <c r="A52" s="977"/>
      <c r="B52" s="979"/>
      <c r="C52" s="980"/>
      <c r="D52" s="953"/>
      <c r="E52" s="981" t="s">
        <v>699</v>
      </c>
      <c r="F52" s="1054"/>
      <c r="I52" s="1435" t="s">
        <v>832</v>
      </c>
      <c r="J52" s="1436">
        <f>'数据-取费表'!J6+0.5%</f>
        <v>7.5000000000000011E-2</v>
      </c>
      <c r="K52" s="1435" t="s">
        <v>833</v>
      </c>
      <c r="L52" s="1436"/>
      <c r="O52" s="1426" t="s">
        <v>408</v>
      </c>
      <c r="P52" s="1417" t="s">
        <v>834</v>
      </c>
      <c r="Q52" s="1418">
        <f ca="1">J53</f>
        <v>46.63</v>
      </c>
      <c r="R52" s="1418" t="s">
        <v>835</v>
      </c>
    </row>
    <row r="53" spans="1:18" s="1382" customFormat="1" ht="24.75" thickBot="1">
      <c r="A53" s="1152" t="s">
        <v>440</v>
      </c>
      <c r="B53" s="1371" t="s">
        <v>700</v>
      </c>
      <c r="C53" s="316">
        <f ca="1">ROUND(IF(F53="押一",C49/12*F11,IF(F53="押二",C49/12*2*F11,IF(F53="押三",C49/12*3*F11,C54*F11))),0)</f>
        <v>0</v>
      </c>
      <c r="D53" s="1364" t="s">
        <v>2112</v>
      </c>
      <c r="E53" s="313" t="s">
        <v>701</v>
      </c>
      <c r="F53" s="1116"/>
      <c r="I53" s="1437" t="s">
        <v>836</v>
      </c>
      <c r="J53" s="2165">
        <f ca="1">IF(M47="住宅",IF(D1="——",MAX(J51,L48),MAX(J51,L48-'数据-取费表'!B24)),IF(D1="——",MIN(J51,L48),MIN(J51,L48-'数据-取费表'!B24)))</f>
        <v>46.63</v>
      </c>
      <c r="K53" s="3767" t="s">
        <v>837</v>
      </c>
      <c r="L53" s="3768"/>
      <c r="O53" s="1416" t="s">
        <v>409</v>
      </c>
      <c r="P53" s="1417" t="s">
        <v>838</v>
      </c>
      <c r="Q53" s="1418">
        <f ca="1">Q47+Q48</f>
        <v>90136</v>
      </c>
      <c r="R53" s="1418" t="s">
        <v>410</v>
      </c>
    </row>
    <row r="54" spans="1:18" s="1382" customFormat="1" ht="13.5" thickBot="1">
      <c r="A54" s="1153"/>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f ca="1">ROUND(IF(J47="钢混",J57/J50,1-(1-2%)*(J50-J57)/J50),3)</f>
        <v>0.20599999999999999</v>
      </c>
      <c r="K55" s="1443" t="s">
        <v>841</v>
      </c>
      <c r="L55" s="1444"/>
      <c r="O55" s="1409" t="s">
        <v>811</v>
      </c>
      <c r="P55" s="1410" t="s">
        <v>812</v>
      </c>
      <c r="Q55" s="1411" t="s">
        <v>813</v>
      </c>
      <c r="R55" s="1411" t="s">
        <v>814</v>
      </c>
    </row>
    <row r="56" spans="1:18" s="1382" customFormat="1" ht="25.5" thickTop="1" thickBot="1">
      <c r="A56" s="957">
        <v>2</v>
      </c>
      <c r="B56" s="958" t="s">
        <v>704</v>
      </c>
      <c r="C56" s="232">
        <f ca="1">C13</f>
        <v>92162</v>
      </c>
      <c r="D56" s="1445"/>
      <c r="E56" s="1446"/>
      <c r="F56" s="1438"/>
      <c r="I56" s="1447" t="s">
        <v>842</v>
      </c>
      <c r="J56" s="1448" t="s">
        <v>3388</v>
      </c>
      <c r="K56" s="1419" t="s">
        <v>843</v>
      </c>
      <c r="L56" s="1422" t="str">
        <f ca="1">IF(L48&lt;J51,"——",L48-J53)</f>
        <v>——</v>
      </c>
      <c r="O56" s="1416" t="s">
        <v>403</v>
      </c>
      <c r="P56" s="1417" t="s">
        <v>817</v>
      </c>
      <c r="Q56" s="1418">
        <f ca="1">C40+J29</f>
        <v>88845</v>
      </c>
      <c r="R56" s="1418" t="s">
        <v>818</v>
      </c>
    </row>
    <row r="57" spans="1:18" s="1382" customFormat="1" ht="24.75" thickBot="1">
      <c r="A57" s="1449"/>
      <c r="B57" s="950" t="s">
        <v>767</v>
      </c>
      <c r="C57" s="238">
        <f ca="1">C29</f>
        <v>94043</v>
      </c>
      <c r="D57" s="1450"/>
      <c r="E57" s="1451"/>
      <c r="F57" s="1452"/>
      <c r="I57" s="1453" t="s">
        <v>844</v>
      </c>
      <c r="J57" s="1454">
        <f ca="1">IF(OR(M47="住宅",J51&lt;L48,J56="是"),"——",J51-L48)</f>
        <v>12.369999999999997</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504</v>
      </c>
      <c r="D58" s="960" t="s">
        <v>715</v>
      </c>
      <c r="E58" s="961"/>
      <c r="F58" s="962"/>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3">
        <f ca="1">ROUND(IF(AND(项目基本情况!B11="自然人",项目基本情况!B10="北京市"),C49*F59/(1+'数据-取费表'!C42),C60+C61+C62),0)</f>
        <v>36</v>
      </c>
      <c r="D59" s="963" t="s">
        <v>720</v>
      </c>
      <c r="E59" s="964" t="s">
        <v>721</v>
      </c>
      <c r="F59" s="2312" t="str">
        <f>IF(项目基本情况!B11="企业","——",IF('数据-取费表'!B10="住宅",IF(F49*F50*F51/12/(1+'数据-取费表'!F30)&gt;100000,4%,2.5%),IF(F49*F50*F51/12/(1+'数据-取费表'!F30)&gt;100000,12%,7%)))</f>
        <v>——</v>
      </c>
      <c r="I59" s="1453" t="s">
        <v>851</v>
      </c>
      <c r="J59" s="1454">
        <f ca="1">IF(OR(M47="住宅",J51&lt;L48,J56="是"),"——",ROUND(C29*J58,0))</f>
        <v>37617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f ca="1">IF(OR(M47="住宅",J51&lt;L48,J56="是"),"0",ROUND(J59/(1+J52)^J53,0))</f>
        <v>1291</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3334</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36.31</v>
      </c>
      <c r="D62" s="965" t="s">
        <v>786</v>
      </c>
      <c r="E62" s="950" t="s">
        <v>787</v>
      </c>
      <c r="F62" s="325">
        <f t="shared" si="0"/>
        <v>1.5</v>
      </c>
      <c r="I62" s="1460" t="s">
        <v>858</v>
      </c>
      <c r="J62" s="1461" t="s">
        <v>859</v>
      </c>
      <c r="K62" s="1461" t="s">
        <v>860</v>
      </c>
      <c r="L62" s="1461" t="s">
        <v>861</v>
      </c>
      <c r="M62" s="1462" t="s">
        <v>862</v>
      </c>
      <c r="O62" s="1416" t="s">
        <v>409</v>
      </c>
      <c r="P62" s="1417" t="s">
        <v>863</v>
      </c>
      <c r="Q62" s="1418">
        <f ca="1">Q56+Q57</f>
        <v>88845</v>
      </c>
      <c r="R62" s="1418" t="s">
        <v>410</v>
      </c>
    </row>
    <row r="63" spans="1:18" s="1382" customFormat="1" ht="13.5" thickBot="1">
      <c r="A63" s="326"/>
      <c r="B63" s="956"/>
      <c r="C63" s="26"/>
      <c r="D63" s="966"/>
      <c r="E63" s="950" t="s">
        <v>788</v>
      </c>
      <c r="F63" s="303">
        <f t="shared" ca="1" si="0"/>
        <v>242044.6</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376.17</v>
      </c>
      <c r="D64" s="964" t="s">
        <v>791</v>
      </c>
      <c r="E64" s="950" t="s">
        <v>783</v>
      </c>
      <c r="F64" s="328">
        <f t="shared" ca="1" si="0"/>
        <v>4.0000000000000001E-3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92.16</v>
      </c>
      <c r="D65" s="964" t="s">
        <v>743</v>
      </c>
      <c r="E65" s="950" t="s">
        <v>744</v>
      </c>
      <c r="F65" s="330">
        <f t="shared" ca="1" si="0"/>
        <v>1E-3</v>
      </c>
      <c r="I65" s="1460" t="s">
        <v>867</v>
      </c>
      <c r="J65" s="1461">
        <v>40</v>
      </c>
      <c r="K65" s="1461">
        <v>30</v>
      </c>
      <c r="L65" s="1461">
        <v>50</v>
      </c>
      <c r="M65" s="1463">
        <v>0.02</v>
      </c>
      <c r="O65" s="1416" t="s">
        <v>403</v>
      </c>
      <c r="P65" s="1417" t="s">
        <v>868</v>
      </c>
      <c r="Q65" s="1418">
        <f ca="1">C40+J29</f>
        <v>88845</v>
      </c>
      <c r="R65" s="1418" t="s">
        <v>818</v>
      </c>
    </row>
    <row r="66" spans="1:18" s="1382" customFormat="1" ht="16.5" thickBot="1">
      <c r="A66" s="982" t="s">
        <v>793</v>
      </c>
      <c r="B66" s="950" t="s">
        <v>728</v>
      </c>
      <c r="C66" s="21">
        <f ca="1">ROUND(C48*F66,2)</f>
        <v>0</v>
      </c>
      <c r="D66" s="964" t="s">
        <v>794</v>
      </c>
      <c r="E66" s="950" t="s">
        <v>712</v>
      </c>
      <c r="F66" s="312">
        <f t="shared" ca="1" si="0"/>
        <v>0.01</v>
      </c>
      <c r="O66" s="1416" t="s">
        <v>404</v>
      </c>
      <c r="P66" s="1417" t="s">
        <v>846</v>
      </c>
      <c r="Q66" s="1418">
        <f ca="1">L60</f>
        <v>0</v>
      </c>
      <c r="R66" s="1418" t="s">
        <v>869</v>
      </c>
    </row>
    <row r="67" spans="1:18" s="1382" customFormat="1" ht="16.5" thickBot="1">
      <c r="A67" s="957" t="s">
        <v>394</v>
      </c>
      <c r="B67" s="967" t="s">
        <v>752</v>
      </c>
      <c r="C67" s="316">
        <f ca="1">C48-C58</f>
        <v>-504</v>
      </c>
      <c r="D67" s="963" t="s">
        <v>753</v>
      </c>
      <c r="E67" s="968"/>
      <c r="F67" s="969"/>
      <c r="O67" s="1426" t="s">
        <v>405</v>
      </c>
      <c r="P67" s="1417" t="s">
        <v>850</v>
      </c>
      <c r="Q67" s="1464">
        <f ca="1">L51</f>
        <v>-58725</v>
      </c>
      <c r="R67" s="1418" t="s">
        <v>870</v>
      </c>
    </row>
    <row r="68" spans="1:18" s="1382" customFormat="1" ht="16.5" thickBot="1">
      <c r="A68" s="947" t="s">
        <v>395</v>
      </c>
      <c r="B68" s="948" t="s">
        <v>774</v>
      </c>
      <c r="C68" s="301">
        <f ca="1">ROUND(C67*(1-((1+F70)/(1+F68))^F69)/(F68-F70),0)</f>
        <v>-9044</v>
      </c>
      <c r="D68" s="965" t="s">
        <v>758</v>
      </c>
      <c r="E68" s="950" t="s">
        <v>759</v>
      </c>
      <c r="F68" s="312">
        <f ca="1">F40</f>
        <v>0.05</v>
      </c>
      <c r="O68" s="1426" t="s">
        <v>406</v>
      </c>
      <c r="P68" s="1465" t="s">
        <v>871</v>
      </c>
      <c r="Q68" s="1418">
        <f ca="1">ROUND(Q69-Q70*Q71,0)</f>
        <v>-2855</v>
      </c>
      <c r="R68" s="1418" t="s">
        <v>414</v>
      </c>
    </row>
    <row r="69" spans="1:18" s="1382" customFormat="1" ht="13.5" thickBot="1">
      <c r="A69" s="951"/>
      <c r="B69" s="952"/>
      <c r="C69" s="306"/>
      <c r="D69" s="970" t="s">
        <v>762</v>
      </c>
      <c r="E69" s="950" t="s">
        <v>763</v>
      </c>
      <c r="F69" s="333">
        <f ca="1">F41</f>
        <v>46.63</v>
      </c>
      <c r="O69" s="1426" t="s">
        <v>411</v>
      </c>
      <c r="P69" s="1465" t="s">
        <v>872</v>
      </c>
      <c r="Q69" s="1418">
        <f ca="1">C39</f>
        <v>3596</v>
      </c>
      <c r="R69" s="1418" t="s">
        <v>818</v>
      </c>
    </row>
    <row r="70" spans="1:18" s="1382" customFormat="1" ht="13.5" thickBot="1">
      <c r="A70" s="954"/>
      <c r="B70" s="955"/>
      <c r="C70" s="310"/>
      <c r="D70" s="966"/>
      <c r="E70" s="950" t="s">
        <v>766</v>
      </c>
      <c r="F70" s="1054"/>
      <c r="O70" s="1426" t="s">
        <v>412</v>
      </c>
      <c r="P70" s="1465" t="s">
        <v>873</v>
      </c>
      <c r="Q70" s="1418">
        <f ca="1">C13</f>
        <v>92162</v>
      </c>
      <c r="R70" s="1418" t="s">
        <v>818</v>
      </c>
    </row>
    <row r="71" spans="1:18" s="1382" customFormat="1" ht="13.5" thickBot="1">
      <c r="A71" s="971" t="s">
        <v>396</v>
      </c>
      <c r="B71" s="972" t="s">
        <v>776</v>
      </c>
      <c r="C71" s="336">
        <f ca="1">ROUND(C68*10000/F71,0)</f>
        <v>-334</v>
      </c>
      <c r="D71" s="973" t="s">
        <v>777</v>
      </c>
      <c r="E71" s="974" t="s">
        <v>778</v>
      </c>
      <c r="F71" s="339">
        <f ca="1">F43</f>
        <v>270951.53999999998</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v>
      </c>
      <c r="D75" s="1382"/>
      <c r="E75" s="1382"/>
      <c r="F75" s="1382"/>
      <c r="K75" s="1400"/>
      <c r="L75" s="1382"/>
      <c r="O75" s="1416" t="s">
        <v>409</v>
      </c>
      <c r="P75" s="1417" t="s">
        <v>838</v>
      </c>
      <c r="Q75" s="1418">
        <f ca="1">Q65+Q66</f>
        <v>88845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-0.79400000000000004</v>
      </c>
    </row>
    <row r="80" spans="1:18">
      <c r="B80" s="340" t="s">
        <v>800</v>
      </c>
      <c r="C80" s="274">
        <f ca="1">ROUND(C75/C39,3)</f>
        <v>1.794</v>
      </c>
    </row>
    <row r="81" spans="2:3">
      <c r="B81" s="270" t="s">
        <v>801</v>
      </c>
      <c r="C81" s="238"/>
    </row>
    <row r="82" spans="2:3">
      <c r="B82" s="273" t="s">
        <v>802</v>
      </c>
      <c r="C82" s="275">
        <f ca="1">1-C83</f>
        <v>-3.6999999999999922E-2</v>
      </c>
    </row>
    <row r="83" spans="2:3">
      <c r="B83" s="273" t="s">
        <v>803</v>
      </c>
      <c r="C83" s="274">
        <f ca="1">ROUND(C13/C40,3)</f>
        <v>1.0369999999999999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2">
        <f ca="1">J53</f>
        <v>0</v>
      </c>
      <c r="G1" s="1376">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1" t="e">
        <f ca="1">ROUND(D2/10000,4)</f>
        <v>#DIV/0!</v>
      </c>
      <c r="C2" s="1385" t="s">
        <v>879</v>
      </c>
      <c r="D2" s="1469" t="e">
        <f ca="1">C40+J29+L46</f>
        <v>#DIV/0!</v>
      </c>
      <c r="E2" s="1386" t="s">
        <v>880</v>
      </c>
      <c r="F2" s="1387"/>
      <c r="G2" s="2702"/>
      <c r="H2" s="2691"/>
      <c r="I2" s="2691"/>
      <c r="J2" s="2691"/>
      <c r="K2" s="2692"/>
      <c r="L2" s="2691"/>
      <c r="M2" s="2691"/>
    </row>
    <row r="3" spans="1:37" ht="18" customHeight="1" thickBot="1">
      <c r="A3" s="1388" t="s">
        <v>881</v>
      </c>
      <c r="B3" s="1389">
        <f ca="1">IF(ISERROR(D2/F43),0,ROUND(D2/F43,0))</f>
        <v>0</v>
      </c>
      <c r="C3" s="1385" t="s">
        <v>882</v>
      </c>
      <c r="D3" s="1385"/>
      <c r="E3" s="1386"/>
      <c r="F3" s="1387"/>
      <c r="G3" s="2702"/>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70">
        <f ca="1">C6+C10+C12</f>
        <v>0</v>
      </c>
      <c r="D5" s="1362" t="s">
        <v>889</v>
      </c>
      <c r="E5" s="1071"/>
      <c r="F5" s="1072"/>
      <c r="G5" s="1382"/>
      <c r="H5" s="299">
        <v>1</v>
      </c>
      <c r="I5" s="300" t="s">
        <v>888</v>
      </c>
      <c r="J5" s="1070">
        <f ca="1">J6+J10+J12</f>
        <v>0</v>
      </c>
      <c r="K5" s="1362" t="s">
        <v>889</v>
      </c>
      <c r="L5" s="1071"/>
      <c r="M5" s="1072"/>
    </row>
    <row r="6" spans="1:37" ht="18" customHeight="1">
      <c r="A6" s="1069" t="s">
        <v>398</v>
      </c>
      <c r="B6" s="3769" t="s">
        <v>694</v>
      </c>
      <c r="C6" s="1074">
        <f ca="1">ROUND(F6*F8*F7*(1-F9),0)</f>
        <v>0</v>
      </c>
      <c r="D6" s="155" t="s">
        <v>2102</v>
      </c>
      <c r="E6" s="302" t="s">
        <v>696</v>
      </c>
      <c r="F6" s="303">
        <f ca="1">INDIRECT("'数据-取费表'!u"&amp;$G$1)</f>
        <v>0</v>
      </c>
      <c r="G6" s="1382"/>
      <c r="H6" s="1069" t="s">
        <v>398</v>
      </c>
      <c r="I6" s="3769" t="s">
        <v>694</v>
      </c>
      <c r="J6" s="301">
        <f ca="1">ROUND(M6*M8*M7*(1-M9),0)</f>
        <v>0</v>
      </c>
      <c r="K6" s="1374" t="s">
        <v>2103</v>
      </c>
      <c r="L6" s="302" t="s">
        <v>696</v>
      </c>
      <c r="M6" s="303">
        <f ca="1">INDIRECT("'数据-取费表'!z"&amp;$G$1)</f>
        <v>0</v>
      </c>
    </row>
    <row r="7" spans="1:37" ht="18" customHeight="1">
      <c r="A7" s="1073"/>
      <c r="B7" s="3770"/>
      <c r="C7" s="1075"/>
      <c r="D7" s="307"/>
      <c r="E7" s="1076" t="s">
        <v>697</v>
      </c>
      <c r="F7" s="303">
        <f ca="1">IF(INDIRECT("'数据-取费表'!ah"&amp;$G$1)="",INDIRECT("'数据-取费表'!k"&amp;$G$1),INDIRECT("'数据-取费表'!ah"&amp;$G$1))</f>
        <v>0</v>
      </c>
      <c r="G7" s="1382"/>
      <c r="H7" s="304"/>
      <c r="I7" s="3770"/>
      <c r="J7" s="306"/>
      <c r="K7" s="307"/>
      <c r="L7" s="302" t="s">
        <v>697</v>
      </c>
      <c r="M7" s="303">
        <f ca="1">F7</f>
        <v>0</v>
      </c>
    </row>
    <row r="8" spans="1:37" ht="18" customHeight="1">
      <c r="A8" s="304"/>
      <c r="B8" s="3770"/>
      <c r="C8" s="306"/>
      <c r="D8" s="307"/>
      <c r="E8" s="302" t="s">
        <v>698</v>
      </c>
      <c r="F8" s="303">
        <f ca="1">INDIRECT("'数据-取费表'!ai"&amp;$G$1)</f>
        <v>0</v>
      </c>
      <c r="G8" s="1382"/>
      <c r="H8" s="304"/>
      <c r="I8" s="3770"/>
      <c r="J8" s="306"/>
      <c r="K8" s="307"/>
      <c r="L8" s="302" t="s">
        <v>698</v>
      </c>
      <c r="M8" s="303">
        <f ca="1">INDIRECT("'数据-取费表'!ai"&amp;$G$1)</f>
        <v>0</v>
      </c>
    </row>
    <row r="9" spans="1:37" ht="18" customHeight="1">
      <c r="A9" s="304"/>
      <c r="B9" s="3771"/>
      <c r="C9" s="306"/>
      <c r="D9" s="307"/>
      <c r="E9" s="302" t="s">
        <v>699</v>
      </c>
      <c r="F9" s="312">
        <f ca="1">INDIRECT("'数据-取费表'!w"&amp;$G$1)</f>
        <v>0</v>
      </c>
      <c r="G9" s="1382"/>
      <c r="H9" s="304"/>
      <c r="I9" s="3771"/>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2112</v>
      </c>
      <c r="E10" s="313" t="s">
        <v>701</v>
      </c>
      <c r="F10" s="1116"/>
      <c r="G10" s="1382"/>
      <c r="H10" s="1069" t="s">
        <v>402</v>
      </c>
      <c r="I10" s="1363" t="s">
        <v>700</v>
      </c>
      <c r="J10" s="301">
        <f ca="1">ROUND(IF(M10="押一",J6/12*M11,IF(M10="押二",J6/12*2*M11,IF(M10="押三",J6/12*3*M11,J11*M11))),0)</f>
        <v>0</v>
      </c>
      <c r="K10" s="1375" t="s">
        <v>2114</v>
      </c>
      <c r="L10" s="313" t="s">
        <v>701</v>
      </c>
      <c r="M10" s="1116"/>
    </row>
    <row r="11" spans="1:37" ht="18" customHeight="1">
      <c r="A11" s="308"/>
      <c r="B11" s="1365" t="s">
        <v>890</v>
      </c>
      <c r="C11" s="959"/>
      <c r="D11" s="307"/>
      <c r="E11" s="313" t="s">
        <v>702</v>
      </c>
      <c r="F11" s="314">
        <f ca="1">'数据-取费表'!B39</f>
        <v>1.4999999999999999E-2</v>
      </c>
      <c r="G11" s="1382"/>
      <c r="H11" s="1077"/>
      <c r="I11" s="1365" t="s">
        <v>891</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2"/>
      <c r="H13" s="1079">
        <v>2</v>
      </c>
      <c r="I13" s="1080" t="s">
        <v>704</v>
      </c>
      <c r="J13" s="1068">
        <f ca="1">ROUND(J14*J15,0)</f>
        <v>0</v>
      </c>
      <c r="K13" s="1087" t="s">
        <v>705</v>
      </c>
      <c r="L13" s="1390"/>
      <c r="M13" s="1391"/>
    </row>
    <row r="14" spans="1:37" ht="18" customHeight="1">
      <c r="A14" s="982" t="s">
        <v>397</v>
      </c>
      <c r="B14" s="302" t="s">
        <v>707</v>
      </c>
      <c r="C14" s="318">
        <f ca="1">ROUND(INDIRECT("'数据-取费表'!l"&amp;$G$1)*F43+'数据-取费表'!L14*INDIRECT("'数据-取费表'!S"&amp;$G$1),0)</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9" t="s">
        <v>393</v>
      </c>
      <c r="I16" s="1080" t="s">
        <v>714</v>
      </c>
      <c r="J16" s="310">
        <f ca="1">ROUND(J17+J22+J23+J24,0)</f>
        <v>0</v>
      </c>
      <c r="K16" s="1087" t="s">
        <v>715</v>
      </c>
      <c r="L16" s="1088"/>
      <c r="M16" s="1072"/>
    </row>
    <row r="17" spans="1:37" s="1395" customFormat="1" ht="18" customHeight="1">
      <c r="A17" s="982" t="s">
        <v>681</v>
      </c>
      <c r="B17" s="302" t="s">
        <v>716</v>
      </c>
      <c r="C17" s="21">
        <f ca="1">ROUND(F17*(F43+INDIRECT("'数据-取费表'!S"&amp;$G$1)),0)</f>
        <v>0</v>
      </c>
      <c r="D17" s="302" t="s">
        <v>717</v>
      </c>
      <c r="E17" s="302" t="s">
        <v>718</v>
      </c>
      <c r="F17" s="23">
        <f>'数据-取费表'!B35</f>
        <v>200</v>
      </c>
      <c r="G17" s="1394"/>
      <c r="H17" s="982"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0.02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IF(K19="按租金收入计税",ROUND(J6*M19/(1+'数据-取费表'!C42),0),ROUND(C29*M19*0.7,0))</f>
        <v>0</v>
      </c>
      <c r="K19" s="1368" t="s">
        <v>3334</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4"/>
      <c r="H24" s="1089" t="s">
        <v>684</v>
      </c>
      <c r="I24" s="1090" t="s">
        <v>728</v>
      </c>
      <c r="J24" s="1091">
        <f ca="1">ROUND(J5*M24,0)</f>
        <v>0</v>
      </c>
      <c r="K24" s="1092" t="s">
        <v>748</v>
      </c>
      <c r="L24" s="1090" t="s">
        <v>744</v>
      </c>
      <c r="M24" s="1086">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0</v>
      </c>
      <c r="D29" s="1092"/>
      <c r="E29" s="1090"/>
      <c r="F29" s="1093"/>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0</v>
      </c>
      <c r="D30" s="1087" t="s">
        <v>715</v>
      </c>
      <c r="E30" s="1088"/>
      <c r="F30" s="1072"/>
      <c r="G30" s="1382"/>
      <c r="H30" s="2693"/>
      <c r="I30" s="1396"/>
      <c r="J30" s="1397"/>
      <c r="K30" s="2471"/>
      <c r="L30" s="2694"/>
      <c r="M30" s="2695"/>
    </row>
    <row r="31" spans="1:37" ht="18" customHeight="1">
      <c r="A31" s="982" t="s">
        <v>398</v>
      </c>
      <c r="B31" s="302"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4" t="s">
        <v>2304</v>
      </c>
      <c r="I31" s="1396"/>
      <c r="J31" s="1397"/>
      <c r="K31" s="2471"/>
      <c r="L31" s="2694"/>
      <c r="M31" s="2695"/>
    </row>
    <row r="32" spans="1:37" ht="18" customHeight="1">
      <c r="A32" s="982" t="s">
        <v>397</v>
      </c>
      <c r="B32" s="302" t="s">
        <v>723</v>
      </c>
      <c r="C32" s="21">
        <f ca="1">IF(项目基本情况!B11="自然人","——",ROUND(C6*F32/(1+'数据-取费表'!C42),0))</f>
        <v>0</v>
      </c>
      <c r="D32" s="1342" t="s">
        <v>724</v>
      </c>
      <c r="E32" s="302" t="s">
        <v>712</v>
      </c>
      <c r="F32" s="331">
        <f>'数据-取费表'!B41</f>
        <v>5.6000000000000001E-2</v>
      </c>
      <c r="G32" s="1382"/>
      <c r="H32" s="2693"/>
      <c r="I32" s="1396"/>
      <c r="J32" s="1397"/>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8" t="s">
        <v>3334</v>
      </c>
      <c r="E33" s="302" t="s">
        <v>712</v>
      </c>
      <c r="F33" s="322">
        <f>IF(D33="按票据","——",IF(D33="按租金收入计税",'数据-取费表'!B51,'数据-取费表'!B50))</f>
        <v>0.12</v>
      </c>
      <c r="G33" s="1382"/>
      <c r="H33" s="2696"/>
      <c r="I33" s="1396"/>
      <c r="J33" s="1397"/>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2"/>
      <c r="H34" s="2693"/>
      <c r="I34" s="1396"/>
      <c r="J34" s="1397"/>
      <c r="K34" s="2698"/>
      <c r="L34" s="2699"/>
      <c r="M34" s="2699"/>
    </row>
    <row r="35" spans="1:18" ht="18" customHeight="1">
      <c r="A35" s="1103"/>
      <c r="B35" s="1101"/>
      <c r="C35" s="26"/>
      <c r="D35" s="327"/>
      <c r="E35" s="302" t="s">
        <v>736</v>
      </c>
      <c r="F35" s="303">
        <f ca="1">INDIRECT("'数据-取费表'!r"&amp;$G$1)</f>
        <v>0</v>
      </c>
      <c r="G35" s="1382"/>
      <c r="H35" s="2693"/>
      <c r="I35" s="1396"/>
      <c r="J35" s="1397"/>
      <c r="K35" s="2697"/>
      <c r="L35" s="2696"/>
      <c r="M35" s="2696"/>
    </row>
    <row r="36" spans="1:18" ht="18" customHeight="1">
      <c r="A36" s="1102" t="s">
        <v>402</v>
      </c>
      <c r="B36" s="302" t="s">
        <v>738</v>
      </c>
      <c r="C36" s="21">
        <f ca="1">ROUND(C29*F36,0)</f>
        <v>0</v>
      </c>
      <c r="D36" s="1342" t="s">
        <v>771</v>
      </c>
      <c r="E36" s="302" t="s">
        <v>712</v>
      </c>
      <c r="F36" s="328">
        <f ca="1">INDIRECT("'数据-取费表'!Ak"&amp;$G$1)</f>
        <v>0</v>
      </c>
      <c r="G36" s="1382"/>
      <c r="H36" s="2696"/>
      <c r="I36" s="1396"/>
      <c r="J36" s="1397"/>
      <c r="K36" s="2540"/>
      <c r="L36" s="2696"/>
      <c r="M36" s="2696"/>
    </row>
    <row r="37" spans="1:18" ht="18" customHeight="1">
      <c r="A37" s="982" t="s">
        <v>437</v>
      </c>
      <c r="B37" s="302" t="s">
        <v>742</v>
      </c>
      <c r="C37" s="21">
        <f ca="1">ROUND(C13*F37,0)</f>
        <v>0</v>
      </c>
      <c r="D37" s="1342" t="s">
        <v>743</v>
      </c>
      <c r="E37" s="302" t="s">
        <v>744</v>
      </c>
      <c r="F37" s="330">
        <f ca="1">INDIRECT("'数据-取费表'!Al"&amp;$G$1)</f>
        <v>0</v>
      </c>
      <c r="G37" s="1382"/>
      <c r="H37" s="2696"/>
      <c r="I37" s="1396"/>
      <c r="J37" s="1397"/>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2"/>
      <c r="H38" s="2696"/>
      <c r="I38" s="1396"/>
      <c r="J38" s="1397"/>
      <c r="K38" s="2700"/>
      <c r="L38" s="2696"/>
      <c r="M38" s="2696"/>
    </row>
    <row r="39" spans="1:18" ht="24.6" customHeight="1" thickTop="1">
      <c r="A39" s="1079" t="s">
        <v>394</v>
      </c>
      <c r="B39" s="1094" t="s">
        <v>772</v>
      </c>
      <c r="C39" s="310">
        <f ca="1">C5-C30</f>
        <v>0</v>
      </c>
      <c r="D39" s="1095" t="s">
        <v>773</v>
      </c>
      <c r="E39" s="1096"/>
      <c r="F39" s="1097"/>
      <c r="G39" s="1382"/>
      <c r="H39" s="2696"/>
      <c r="I39" s="1396"/>
      <c r="J39" s="1397"/>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0"/>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0"/>
      <c r="L41" s="1190"/>
      <c r="M41" s="1190"/>
    </row>
    <row r="42" spans="1:18" ht="18" customHeight="1">
      <c r="A42" s="308"/>
      <c r="B42" s="309"/>
      <c r="C42" s="310"/>
      <c r="D42" s="327"/>
      <c r="E42" s="302" t="s">
        <v>766</v>
      </c>
      <c r="F42" s="312">
        <f ca="1">INDIRECT("'数据-取费表'!v"&amp;$G$1)</f>
        <v>0</v>
      </c>
      <c r="G42" s="1382"/>
      <c r="H42" s="1190"/>
      <c r="I42" s="1396"/>
      <c r="J42" s="1397"/>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2"/>
      <c r="H43" s="1190"/>
      <c r="I43" s="1190"/>
      <c r="J43" s="1190"/>
      <c r="K43" s="2540"/>
      <c r="L43" s="1190"/>
      <c r="M43" s="1190"/>
    </row>
    <row r="44" spans="1:18" s="1382" customFormat="1" ht="18" customHeight="1">
      <c r="A44" s="1398"/>
      <c r="B44" s="1398"/>
      <c r="C44" s="1399"/>
      <c r="D44" s="1398"/>
      <c r="E44" s="1398"/>
      <c r="F44" s="1398"/>
      <c r="K44" s="1400"/>
    </row>
    <row r="45" spans="1:18" s="1382" customFormat="1" ht="18" customHeight="1" thickBot="1">
      <c r="A45" s="3427" t="s">
        <v>3350</v>
      </c>
      <c r="B45" s="1398"/>
      <c r="C45" s="1470" t="e">
        <f ca="1">ROUND((C68-C40)/10000,4)</f>
        <v>#DIV/0!</v>
      </c>
      <c r="D45" s="3428" t="s">
        <v>3351</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978" t="s">
        <v>689</v>
      </c>
      <c r="D47" s="978" t="s">
        <v>690</v>
      </c>
      <c r="E47" s="1058" t="s">
        <v>691</v>
      </c>
      <c r="F47" s="1059"/>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10" t="s">
        <v>438</v>
      </c>
      <c r="B48" s="300" t="s">
        <v>692</v>
      </c>
      <c r="C48" s="1357">
        <f ca="1">C49+C53+C55</f>
        <v>0</v>
      </c>
      <c r="D48" s="1112"/>
      <c r="E48" s="1113"/>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4">
        <f ca="1">ROUND(F49*F51*F50*(1-F52),0)</f>
        <v>0</v>
      </c>
      <c r="D49" s="1055" t="s">
        <v>695</v>
      </c>
      <c r="E49" s="1370" t="s">
        <v>780</v>
      </c>
      <c r="F49" s="1060"/>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980"/>
      <c r="D50" s="953"/>
      <c r="E50" s="1056" t="s">
        <v>697</v>
      </c>
      <c r="F50" s="1057">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0</v>
      </c>
      <c r="R52" s="1418" t="s">
        <v>835</v>
      </c>
    </row>
    <row r="53" spans="1:18" s="1382" customFormat="1" ht="30.75" customHeight="1" thickBot="1">
      <c r="A53" s="1111" t="s">
        <v>440</v>
      </c>
      <c r="B53" s="323" t="s">
        <v>700</v>
      </c>
      <c r="C53" s="316">
        <f ca="1">ROUND(IF(F53="押一",C49/12*F11,IF(F53="押二",C49/12*2*F11,IF(F53="押三",C49/12*3*F11,C54*F11))),0)</f>
        <v>0</v>
      </c>
      <c r="D53" s="1364" t="s">
        <v>2115</v>
      </c>
      <c r="E53" s="313" t="s">
        <v>701</v>
      </c>
      <c r="F53" s="1116"/>
      <c r="I53" s="1437" t="s">
        <v>836</v>
      </c>
      <c r="J53" s="2165">
        <f ca="1">IF(M47="住宅",IF(D1="——",MAX(J51,L48),MAX(J51,L48-'数据-取费表'!B24)),IF(D1="——",MIN(J51,L48),MIN(J51,L48-'数据-取费表'!B24)))</f>
        <v>0</v>
      </c>
      <c r="K53" s="3767" t="s">
        <v>837</v>
      </c>
      <c r="L53" s="3768"/>
      <c r="O53" s="1416" t="s">
        <v>409</v>
      </c>
      <c r="P53" s="1417" t="s">
        <v>838</v>
      </c>
      <c r="Q53" s="1418" t="e">
        <f ca="1">Q47+Q48</f>
        <v>#DIV/0!</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3334</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ROUND(C48*F66,0)</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4"/>
      <c r="O70" s="1426" t="s">
        <v>412</v>
      </c>
      <c r="P70" s="1465" t="s">
        <v>873</v>
      </c>
      <c r="Q70" s="1418">
        <f ca="1">C13</f>
        <v>0</v>
      </c>
      <c r="R70" s="1418" t="s">
        <v>818</v>
      </c>
    </row>
    <row r="71" spans="1:18" s="1382" customFormat="1" ht="13.5" thickBot="1">
      <c r="A71" s="971" t="s">
        <v>396</v>
      </c>
      <c r="B71" s="972" t="s">
        <v>776</v>
      </c>
      <c r="C71" s="336" t="e">
        <f ca="1">ROUND(C68/F71,0)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受贵公司委托，我公司对天津市北辰区万河路55号“京东智能产业园天津北辰”项目非居住用房房地产抵押价值进行了预评估。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北辰区万河路55号“京东智能产业园天津北辰”项目非居住用房房地产，为所有。根据《国有土地使用证》[]，估价对象（分摊）出让国有建设用地使用权面积为242044.6平方米，建筑面积为270951.54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北辰区万河路55号“京东智能产业园天津北辰”项目非居住用房房地产,属开发建设的工业项目，该项目尚在开发建设中。根据《国有土地使用证》[]，估价对象（分摊）出让国有建设用地使用权面积为242044.6平方米，规划建筑面积为270951.54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天津市北辰区万河路55号“京东智能产业园天津北辰”项目非居住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2024年9月5日（评估专业人员实地查勘之日）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3" t="s">
        <v>2313</v>
      </c>
      <c r="B2" s="2839" t="e">
        <f>IF(D2="——",C40,C40+E2)</f>
        <v>#DIV/0!</v>
      </c>
      <c r="C2" s="2840" t="s">
        <v>2314</v>
      </c>
      <c r="D2" s="3439" t="s">
        <v>3357</v>
      </c>
      <c r="E2" s="3440"/>
      <c r="F2" s="2842"/>
      <c r="G2" s="2843"/>
      <c r="H2" s="2844"/>
      <c r="I2" s="2845"/>
      <c r="J2" s="3778" t="s">
        <v>2315</v>
      </c>
      <c r="K2" s="3779"/>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780" t="s">
        <v>2325</v>
      </c>
      <c r="K3" s="3781"/>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780" t="s">
        <v>2327</v>
      </c>
      <c r="K4" s="3781"/>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786" t="s">
        <v>2331</v>
      </c>
      <c r="B6" s="3787"/>
      <c r="C6" s="3788"/>
      <c r="D6" s="2866"/>
      <c r="E6" s="2867"/>
      <c r="F6" s="2868"/>
      <c r="G6" s="2869"/>
      <c r="H6" s="2844"/>
      <c r="I6" s="2845"/>
      <c r="J6" s="3772">
        <v>1</v>
      </c>
      <c r="K6" s="3773"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772"/>
      <c r="K7" s="3774"/>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789" t="s">
        <v>2345</v>
      </c>
      <c r="C8" s="3790"/>
      <c r="D8" s="2885" t="s">
        <v>2346</v>
      </c>
      <c r="E8" s="2886" t="s">
        <v>2347</v>
      </c>
      <c r="F8" s="2887" t="s">
        <v>2348</v>
      </c>
      <c r="G8" s="2888"/>
      <c r="H8" s="2844"/>
      <c r="I8" s="2845"/>
      <c r="J8" s="3772"/>
      <c r="K8" s="3774"/>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789" t="s">
        <v>2351</v>
      </c>
      <c r="C9" s="3790"/>
      <c r="D9" s="2885">
        <f>ROUND(D6*E9,0)</f>
        <v>0</v>
      </c>
      <c r="E9" s="2889"/>
      <c r="F9" s="2890" t="s">
        <v>2352</v>
      </c>
      <c r="G9" s="2869"/>
      <c r="H9" s="2844"/>
      <c r="I9" s="2845"/>
      <c r="J9" s="3772"/>
      <c r="K9" s="3774"/>
      <c r="L9" s="2879" t="s">
        <v>2353</v>
      </c>
      <c r="M9" s="2880"/>
      <c r="N9" s="2856"/>
      <c r="O9" s="2881"/>
      <c r="P9" s="2881"/>
      <c r="Q9" s="2882">
        <v>365</v>
      </c>
      <c r="R9" s="2883">
        <f t="shared" si="0"/>
        <v>0</v>
      </c>
      <c r="S9" s="2837"/>
      <c r="T9" s="2837"/>
      <c r="U9" s="2837"/>
      <c r="V9" s="2845"/>
    </row>
    <row r="10" spans="1:22" s="2849" customFormat="1" ht="13.15" customHeight="1">
      <c r="A10" s="2884">
        <v>2</v>
      </c>
      <c r="B10" s="3789" t="s">
        <v>2354</v>
      </c>
      <c r="C10" s="3790"/>
      <c r="D10" s="2885">
        <f>ROUND(D6*E10,0)</f>
        <v>0</v>
      </c>
      <c r="E10" s="2889"/>
      <c r="F10" s="2890" t="s">
        <v>2355</v>
      </c>
      <c r="G10" s="2869"/>
      <c r="H10" s="2844"/>
      <c r="I10" s="2845"/>
      <c r="J10" s="3772"/>
      <c r="K10" s="3774"/>
      <c r="L10" s="2879" t="s">
        <v>2356</v>
      </c>
      <c r="M10" s="2880"/>
      <c r="N10" s="2856"/>
      <c r="O10" s="2881"/>
      <c r="P10" s="2881"/>
      <c r="Q10" s="2882">
        <v>365</v>
      </c>
      <c r="R10" s="2883">
        <f t="shared" si="0"/>
        <v>0</v>
      </c>
      <c r="S10" s="2837"/>
      <c r="T10" s="2837"/>
      <c r="U10" s="2837"/>
      <c r="V10" s="2845"/>
    </row>
    <row r="11" spans="1:22" s="2849" customFormat="1" ht="13.15" customHeight="1">
      <c r="A11" s="2884">
        <v>3</v>
      </c>
      <c r="B11" s="3789" t="s">
        <v>2357</v>
      </c>
      <c r="C11" s="3790"/>
      <c r="D11" s="2885">
        <f>D12+D14+D15+D16</f>
        <v>0</v>
      </c>
      <c r="E11" s="2891" t="e">
        <f>D11/D6</f>
        <v>#DIV/0!</v>
      </c>
      <c r="F11" s="2887"/>
      <c r="G11" s="2888"/>
      <c r="H11" s="2844"/>
      <c r="I11" s="2845"/>
      <c r="J11" s="3772"/>
      <c r="K11" s="3774"/>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782" t="s">
        <v>2360</v>
      </c>
      <c r="C12" s="3783"/>
      <c r="D12" s="2893">
        <f>ROUND(D13*1.2%*(1-30%),0)</f>
        <v>0</v>
      </c>
      <c r="E12" s="2894">
        <v>1.2E-2</v>
      </c>
      <c r="F12" s="2887" t="s">
        <v>2361</v>
      </c>
      <c r="G12" s="2888"/>
      <c r="H12" s="2844"/>
      <c r="I12" s="2845"/>
      <c r="J12" s="3772"/>
      <c r="K12" s="3774"/>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772"/>
      <c r="K13" s="3774"/>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782" t="s">
        <v>2366</v>
      </c>
      <c r="C14" s="3783"/>
      <c r="D14" s="2893">
        <f>ROUND(E14*B5/10000,0)</f>
        <v>0</v>
      </c>
      <c r="E14" s="2882"/>
      <c r="F14" s="2887" t="s">
        <v>2367</v>
      </c>
      <c r="G14" s="2888"/>
      <c r="H14" s="2844"/>
      <c r="I14" s="2845"/>
      <c r="J14" s="3772"/>
      <c r="K14" s="3775"/>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782" t="s">
        <v>2370</v>
      </c>
      <c r="C15" s="3783"/>
      <c r="D15" s="2893">
        <f>ROUND(D6*E15,0)</f>
        <v>0</v>
      </c>
      <c r="E15" s="2894">
        <v>5.5E-2</v>
      </c>
      <c r="F15" s="2887" t="s">
        <v>2371</v>
      </c>
      <c r="G15" s="2869"/>
      <c r="H15" s="2844"/>
      <c r="I15" s="2845"/>
      <c r="J15" s="3772">
        <v>2</v>
      </c>
      <c r="K15" s="3773"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782" t="s">
        <v>2379</v>
      </c>
      <c r="C16" s="3783"/>
      <c r="D16" s="2904">
        <f>D6*E16</f>
        <v>0</v>
      </c>
      <c r="E16" s="2905"/>
      <c r="F16" s="2890" t="s">
        <v>2380</v>
      </c>
      <c r="G16" s="2869"/>
      <c r="H16" s="2844"/>
      <c r="I16" s="2845"/>
      <c r="J16" s="3772"/>
      <c r="K16" s="3774"/>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84" t="s">
        <v>2382</v>
      </c>
      <c r="C17" s="3785"/>
      <c r="D17" s="2907">
        <f>ROUND(D6*E17,0)</f>
        <v>0</v>
      </c>
      <c r="E17" s="2908"/>
      <c r="F17" s="2909" t="s">
        <v>2383</v>
      </c>
      <c r="G17" s="2869"/>
      <c r="H17" s="2844"/>
      <c r="I17" s="2845"/>
      <c r="J17" s="3772"/>
      <c r="K17" s="3774"/>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772"/>
      <c r="K18" s="3774"/>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772"/>
      <c r="K19" s="3775"/>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72">
        <v>3</v>
      </c>
      <c r="K20" s="3773"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772"/>
      <c r="K21" s="3774"/>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772"/>
      <c r="K22" s="3774"/>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772"/>
      <c r="K23" s="3774"/>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772"/>
      <c r="K24" s="3775"/>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76">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7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778" t="s">
        <v>2315</v>
      </c>
      <c r="K32" s="3779"/>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780" t="s">
        <v>2325</v>
      </c>
      <c r="K33" s="3781"/>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780" t="s">
        <v>2327</v>
      </c>
      <c r="K34" s="378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772">
        <v>1</v>
      </c>
      <c r="K36" s="3773"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772"/>
      <c r="K37" s="3774"/>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72"/>
      <c r="K38" s="3774"/>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772"/>
      <c r="K39" s="3774"/>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772"/>
      <c r="K40" s="3775"/>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6">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7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4" t="s">
        <v>1655</v>
      </c>
      <c r="B1" s="1865"/>
      <c r="C1" s="1865"/>
      <c r="D1" s="1865"/>
      <c r="E1" s="1866"/>
      <c r="F1" s="2703"/>
      <c r="G1" s="1487"/>
      <c r="H1" s="1487"/>
      <c r="I1" s="1487"/>
      <c r="J1" s="1487"/>
      <c r="K1" s="1487"/>
      <c r="L1" s="1487"/>
      <c r="M1" s="1487"/>
      <c r="N1" s="1487"/>
      <c r="O1" s="1487"/>
      <c r="P1" s="1487"/>
      <c r="Q1" s="1487"/>
      <c r="R1" s="1487"/>
      <c r="S1" s="1487"/>
    </row>
    <row r="2" spans="1:22" ht="15.75">
      <c r="A2" s="1867" t="s">
        <v>1459</v>
      </c>
      <c r="B2" s="1868">
        <f ca="1">SUMIF(B6:B13,"&lt;&gt;#ref!",B6:B13)</f>
        <v>90136</v>
      </c>
      <c r="C2" s="1869" t="s">
        <v>1648</v>
      </c>
      <c r="D2" s="1870" t="s">
        <v>1649</v>
      </c>
      <c r="E2" s="2603">
        <f>SUM(E6:E13)</f>
        <v>270951.53999999998</v>
      </c>
      <c r="F2" s="2703"/>
      <c r="G2" s="1487"/>
      <c r="H2" s="1487"/>
      <c r="I2" s="1487"/>
      <c r="J2" s="1487"/>
      <c r="K2" s="1487"/>
      <c r="L2" s="1487"/>
      <c r="M2" s="1487"/>
      <c r="N2" s="1487"/>
      <c r="O2" s="1487"/>
      <c r="P2" s="1487"/>
      <c r="Q2" s="1487"/>
      <c r="R2" s="1487"/>
      <c r="S2" s="1487"/>
    </row>
    <row r="3" spans="1:22" ht="15.75">
      <c r="A3" s="1867" t="s">
        <v>686</v>
      </c>
      <c r="B3" s="2597">
        <f ca="1">ROUND(B2*10000/E2,0)</f>
        <v>3327</v>
      </c>
      <c r="C3" s="1869" t="s">
        <v>1656</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599" t="s">
        <v>1650</v>
      </c>
      <c r="B5" s="3791" t="s">
        <v>1651</v>
      </c>
      <c r="C5" s="3792"/>
      <c r="D5" s="2704"/>
      <c r="E5" s="1871" t="s">
        <v>1652</v>
      </c>
      <c r="F5" s="1872" t="s">
        <v>1653</v>
      </c>
      <c r="G5" s="1487"/>
      <c r="H5" s="1487"/>
      <c r="I5" s="1487"/>
      <c r="J5" s="1487"/>
      <c r="K5" s="1487"/>
      <c r="L5" s="1487"/>
      <c r="M5" s="1487"/>
      <c r="N5" s="1487"/>
      <c r="O5" s="1487"/>
      <c r="P5" s="1487"/>
      <c r="Q5" s="1487"/>
      <c r="R5" s="1487"/>
      <c r="S5" s="1487"/>
    </row>
    <row r="6" spans="1:22">
      <c r="A6" s="2600" t="str">
        <f>'数据-取费表'!AN6</f>
        <v>收益法</v>
      </c>
      <c r="B6" s="2598">
        <f ca="1">IF(F6="是",'数据-取费表'!AO6,0)</f>
        <v>90136</v>
      </c>
      <c r="C6" s="1869" t="s">
        <v>1648</v>
      </c>
      <c r="D6" s="2705"/>
      <c r="E6" s="2602">
        <f>IF(OR(A6=0,F6="否"),0,'数据-取费表'!K6+'数据-取费表'!S6)</f>
        <v>270951.53999999998</v>
      </c>
      <c r="F6" s="1873" t="s">
        <v>1654</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69" t="s">
        <v>1648</v>
      </c>
      <c r="D7" s="2705"/>
      <c r="E7" s="2602">
        <f>IF(OR(A7=0,F7="否"),0,'数据-取费表'!K7+'数据-取费表'!S7)</f>
        <v>0</v>
      </c>
      <c r="F7" s="1873" t="s">
        <v>1654</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69" t="s">
        <v>1648</v>
      </c>
      <c r="D8" s="2705"/>
      <c r="E8" s="2602">
        <f>IF(OR(A8=0,F8="否"),0,'数据-取费表'!K8+'数据-取费表'!S8)</f>
        <v>0</v>
      </c>
      <c r="F8" s="1873" t="s">
        <v>1654</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69" t="s">
        <v>1648</v>
      </c>
      <c r="D9" s="2705"/>
      <c r="E9" s="2602">
        <f>IF(OR(A9=0,F9="否"),0,'数据-取费表'!K9+'数据-取费表'!S9)</f>
        <v>0</v>
      </c>
      <c r="F9" s="1873" t="s">
        <v>1654</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69" t="s">
        <v>1648</v>
      </c>
      <c r="D10" s="2705"/>
      <c r="E10" s="2602">
        <f>IF(OR(A10=0,F10="否"),0,'数据-取费表'!K10+'数据-取费表'!S10)</f>
        <v>0</v>
      </c>
      <c r="F10" s="1873" t="s">
        <v>1654</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69" t="s">
        <v>1648</v>
      </c>
      <c r="D11" s="2705"/>
      <c r="E11" s="2602">
        <f>IF(OR(A11=0,F11="否"),0,'数据-取费表'!K11+'数据-取费表'!S11)</f>
        <v>0</v>
      </c>
      <c r="F11" s="1873" t="s">
        <v>1654</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69" t="s">
        <v>1648</v>
      </c>
      <c r="D12" s="2705"/>
      <c r="E12" s="2602">
        <f>IF(OR(A12=0,F12="否"),0,'数据-取费表'!K12+'数据-取费表'!S12)</f>
        <v>0</v>
      </c>
      <c r="F12" s="1873" t="s">
        <v>1654</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4" t="s">
        <v>1648</v>
      </c>
      <c r="D13" s="2706"/>
      <c r="E13" s="2602">
        <f>IF(OR(A13=0,F13="否"),0,'数据-取费表'!K13+'数据-取费表'!S13)</f>
        <v>0</v>
      </c>
      <c r="F13" s="1873"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5" t="s">
        <v>1658</v>
      </c>
      <c r="C1" s="1237" t="s">
        <v>1659</v>
      </c>
      <c r="D1" s="1224"/>
      <c r="E1" s="3422"/>
      <c r="F1" s="1876"/>
      <c r="G1" s="1234" t="s">
        <v>1660</v>
      </c>
      <c r="H1" s="1233"/>
      <c r="I1" s="1233"/>
      <c r="J1" s="1233"/>
      <c r="K1" s="1235"/>
      <c r="L1" s="1236"/>
      <c r="M1" s="1237"/>
      <c r="N1" s="1237"/>
      <c r="O1" s="1237"/>
      <c r="P1" s="1877"/>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78"/>
      <c r="D2" s="1115" t="e">
        <f ca="1">IF(E1="项目模式",SUMIF(INDIRECT("'"&amp;F2&amp;"'"&amp;"!A:A"),"承租人权益价值",INDIRECT("'"&amp;F2&amp;"'"&amp;"!c:c")),SUMIF(INDIRECT("'"&amp;F2&amp;"'"&amp;"!A:A"),"承租人权益价值（单套）",INDIRECT("'"&amp;F2&amp;"'"&amp;"!c:c")))</f>
        <v>#REF!</v>
      </c>
      <c r="E2" s="1879" t="s">
        <v>1661</v>
      </c>
      <c r="F2" s="1880"/>
      <c r="G2" s="907"/>
      <c r="H2" s="907"/>
      <c r="I2" s="907"/>
      <c r="J2" s="907"/>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1662</v>
      </c>
      <c r="D3" s="353">
        <f>IF(D1="",'数据-汇总表'!E3,SUMIF('数据-汇总表'!$C19:$C33,D1,'数据-汇总表'!$E19:$E33))</f>
        <v>270951.53999999998</v>
      </c>
      <c r="E3" s="907"/>
      <c r="F3" s="1885"/>
      <c r="G3" s="907"/>
      <c r="H3" s="907"/>
      <c r="I3" s="907"/>
      <c r="J3" s="907"/>
      <c r="K3" s="1881"/>
      <c r="L3" s="2709"/>
      <c r="M3" s="2710"/>
      <c r="N3" s="2710"/>
      <c r="O3" s="2710"/>
      <c r="P3" s="1882"/>
      <c r="Q3" s="1883"/>
      <c r="R3" s="1883"/>
      <c r="S3" s="1883"/>
      <c r="T3" s="1883"/>
      <c r="U3" s="1883"/>
      <c r="V3" s="1883"/>
      <c r="W3" s="1883"/>
      <c r="X3" s="1883"/>
      <c r="Y3" s="1883"/>
      <c r="Z3" s="1883"/>
      <c r="AA3" s="1883"/>
      <c r="AB3" s="1883"/>
      <c r="AC3" s="1061"/>
    </row>
    <row r="4" spans="1:29" ht="15">
      <c r="A4" s="355" t="s">
        <v>1663</v>
      </c>
      <c r="B4" s="356"/>
      <c r="C4" s="3725" t="s">
        <v>1664</v>
      </c>
      <c r="D4" s="3737"/>
      <c r="E4" s="3738" t="s">
        <v>1665</v>
      </c>
      <c r="F4" s="3739"/>
      <c r="G4" s="3725" t="s">
        <v>1666</v>
      </c>
      <c r="H4" s="3737"/>
      <c r="I4" s="3725" t="s">
        <v>1667</v>
      </c>
      <c r="J4" s="3737"/>
      <c r="K4" s="1886" t="s">
        <v>1668</v>
      </c>
      <c r="L4" s="2711"/>
      <c r="M4" s="2712"/>
      <c r="N4" s="2712"/>
      <c r="O4" s="2712"/>
      <c r="P4" s="3740" t="s">
        <v>1669</v>
      </c>
      <c r="Q4" s="3741"/>
      <c r="R4" s="3746" t="s">
        <v>1665</v>
      </c>
      <c r="S4" s="3747"/>
      <c r="T4" s="3746" t="s">
        <v>1666</v>
      </c>
      <c r="U4" s="3747"/>
      <c r="V4" s="3733" t="s">
        <v>1667</v>
      </c>
      <c r="W4" s="3733"/>
      <c r="X4" s="1353"/>
      <c r="Y4" s="3746" t="s">
        <v>1669</v>
      </c>
      <c r="Z4" s="3747"/>
      <c r="AA4" s="3734" t="s">
        <v>1665</v>
      </c>
      <c r="AB4" s="3734" t="s">
        <v>1666</v>
      </c>
      <c r="AC4" s="3734" t="s">
        <v>1667</v>
      </c>
    </row>
    <row r="5" spans="1:29" ht="15">
      <c r="A5" s="358"/>
      <c r="B5" s="359"/>
      <c r="C5" s="3754" t="s">
        <v>1670</v>
      </c>
      <c r="D5" s="3755"/>
      <c r="E5" s="3761" t="s">
        <v>1671</v>
      </c>
      <c r="F5" s="3762"/>
      <c r="G5" s="3754" t="s">
        <v>1672</v>
      </c>
      <c r="H5" s="3755"/>
      <c r="I5" s="3754" t="s">
        <v>1673</v>
      </c>
      <c r="J5" s="3755"/>
      <c r="K5" s="1887"/>
      <c r="L5" s="2711"/>
      <c r="M5" s="2712"/>
      <c r="N5" s="2712"/>
      <c r="O5" s="2712"/>
      <c r="P5" s="3742"/>
      <c r="Q5" s="3743"/>
      <c r="R5" s="3748"/>
      <c r="S5" s="3749"/>
      <c r="T5" s="3748"/>
      <c r="U5" s="3749"/>
      <c r="V5" s="3733"/>
      <c r="W5" s="3733"/>
      <c r="X5" s="1353"/>
      <c r="Y5" s="3748"/>
      <c r="Z5" s="3749"/>
      <c r="AA5" s="3735"/>
      <c r="AB5" s="3735"/>
      <c r="AC5" s="3735"/>
    </row>
    <row r="6" spans="1:29" ht="15.75" thickBot="1">
      <c r="A6" s="360"/>
      <c r="B6" s="361"/>
      <c r="C6" s="3752" t="s">
        <v>1674</v>
      </c>
      <c r="D6" s="3753"/>
      <c r="E6" s="3759" t="s">
        <v>1674</v>
      </c>
      <c r="F6" s="3760"/>
      <c r="G6" s="3752" t="s">
        <v>1674</v>
      </c>
      <c r="H6" s="3753"/>
      <c r="I6" s="3752" t="s">
        <v>1674</v>
      </c>
      <c r="J6" s="3753"/>
      <c r="K6" s="1887" t="s">
        <v>1675</v>
      </c>
      <c r="L6" s="2711"/>
      <c r="M6" s="2712"/>
      <c r="N6" s="2712"/>
      <c r="O6" s="2712"/>
      <c r="P6" s="3744"/>
      <c r="Q6" s="3745"/>
      <c r="R6" s="3748"/>
      <c r="S6" s="3749"/>
      <c r="T6" s="3750"/>
      <c r="U6" s="3751"/>
      <c r="V6" s="3733"/>
      <c r="W6" s="3733"/>
      <c r="X6" s="1353"/>
      <c r="Y6" s="3750"/>
      <c r="Z6" s="3751"/>
      <c r="AA6" s="3736"/>
      <c r="AB6" s="3736"/>
      <c r="AC6" s="3736"/>
    </row>
    <row r="7" spans="1:29" s="108" customFormat="1" ht="15.75" thickBot="1">
      <c r="A7" s="362" t="s">
        <v>1676</v>
      </c>
      <c r="B7" s="363"/>
      <c r="C7" s="364">
        <f>'数据-取费表'!B2</f>
        <v>45540</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756" t="s">
        <v>1677</v>
      </c>
      <c r="Q7" s="3758"/>
      <c r="R7" s="701" t="s">
        <v>20</v>
      </c>
      <c r="S7" s="702">
        <f t="shared" ref="S7:S15" si="0">F7</f>
        <v>0</v>
      </c>
      <c r="T7" s="701" t="s">
        <v>20</v>
      </c>
      <c r="U7" s="702">
        <f t="shared" ref="U7:U15" si="1">H7</f>
        <v>0</v>
      </c>
      <c r="V7" s="701" t="s">
        <v>20</v>
      </c>
      <c r="W7" s="702">
        <f t="shared" ref="W7:W15" si="2">J7</f>
        <v>0</v>
      </c>
      <c r="X7" s="703"/>
      <c r="Y7" s="3756" t="s">
        <v>1677</v>
      </c>
      <c r="Z7" s="3757"/>
      <c r="AA7" s="704" t="e">
        <f>D7/F7</f>
        <v>#DIV/0!</v>
      </c>
      <c r="AB7" s="704" t="e">
        <f>D7/H7</f>
        <v>#DIV/0!</v>
      </c>
      <c r="AC7" s="704" t="e">
        <f>D7/J7</f>
        <v>#DIV/0!</v>
      </c>
    </row>
    <row r="8" spans="1:29" s="108" customFormat="1" ht="15.75" thickBot="1">
      <c r="A8" s="362" t="s">
        <v>1678</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756" t="s">
        <v>1680</v>
      </c>
      <c r="Q8" s="3757"/>
      <c r="R8" s="701" t="s">
        <v>20</v>
      </c>
      <c r="S8" s="702">
        <f t="shared" si="0"/>
        <v>100</v>
      </c>
      <c r="T8" s="701" t="s">
        <v>20</v>
      </c>
      <c r="U8" s="702">
        <f t="shared" si="1"/>
        <v>100</v>
      </c>
      <c r="V8" s="701" t="s">
        <v>20</v>
      </c>
      <c r="W8" s="702">
        <f t="shared" si="2"/>
        <v>100</v>
      </c>
      <c r="X8" s="703"/>
      <c r="Y8" s="3756" t="s">
        <v>1680</v>
      </c>
      <c r="Z8" s="3757"/>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727" t="s">
        <v>1683</v>
      </c>
      <c r="Q9" s="1341"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430"/>
      <c r="D10" s="127">
        <v>100</v>
      </c>
      <c r="E10" s="3431"/>
      <c r="F10" s="376">
        <f>SUMIF(65:65,E10,66:66)-SUMIF(65:65,C10,66:66)+100</f>
        <v>100</v>
      </c>
      <c r="G10" s="3430"/>
      <c r="H10" s="127">
        <f>SUMIF(65:65,G10,66:66)-SUMIF(65:65,C10,66:66)+100</f>
        <v>100</v>
      </c>
      <c r="I10" s="3430"/>
      <c r="J10" s="127">
        <f>SUMIF(65:65,I10,66:66)-SUMIF(65:65,C10,66:66)+100</f>
        <v>100</v>
      </c>
      <c r="K10" s="1888"/>
      <c r="L10" s="2715"/>
      <c r="M10" s="2716"/>
      <c r="N10" s="2716"/>
      <c r="O10" s="2716"/>
      <c r="P10" s="3727"/>
      <c r="Q10" s="1341"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7"/>
      <c r="Q11" s="1341"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727"/>
      <c r="Q12" s="1341">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727"/>
      <c r="Q13" s="1341">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727"/>
      <c r="Q14" s="1341">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1687</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99" t="s">
        <v>1688</v>
      </c>
      <c r="Q15" s="1350" t="str">
        <f t="shared" si="6"/>
        <v>居住社区成熟度</v>
      </c>
      <c r="R15" s="705" t="s">
        <v>18</v>
      </c>
      <c r="S15" s="706">
        <f t="shared" si="0"/>
        <v>100</v>
      </c>
      <c r="T15" s="705" t="s">
        <v>18</v>
      </c>
      <c r="U15" s="706">
        <f t="shared" si="1"/>
        <v>100</v>
      </c>
      <c r="V15" s="705" t="s">
        <v>18</v>
      </c>
      <c r="W15" s="706">
        <f t="shared" si="2"/>
        <v>100</v>
      </c>
      <c r="X15" s="1353"/>
      <c r="Y15" s="3729" t="s">
        <v>1688</v>
      </c>
      <c r="Z15" s="1354" t="str">
        <f t="shared" si="7"/>
        <v>居住社区成熟度</v>
      </c>
      <c r="AA15" s="1351">
        <f t="shared" si="3"/>
        <v>1</v>
      </c>
      <c r="AB15" s="1351">
        <f t="shared" si="4"/>
        <v>1</v>
      </c>
      <c r="AC15" s="1351">
        <f t="shared" si="5"/>
        <v>1</v>
      </c>
    </row>
    <row r="16" spans="1:29" ht="15">
      <c r="A16" s="379"/>
      <c r="B16" s="397"/>
      <c r="C16" s="398"/>
      <c r="D16" s="399"/>
      <c r="E16" s="1894"/>
      <c r="F16" s="399"/>
      <c r="G16" s="1895"/>
      <c r="H16" s="401"/>
      <c r="I16" s="1895"/>
      <c r="J16" s="399"/>
      <c r="K16" s="1896"/>
      <c r="L16" s="2718"/>
      <c r="M16" s="2712"/>
      <c r="N16" s="2712"/>
      <c r="O16" s="2712"/>
      <c r="P16" s="3800"/>
      <c r="Q16" s="1350"/>
      <c r="R16" s="705"/>
      <c r="S16" s="706"/>
      <c r="T16" s="705"/>
      <c r="U16" s="706"/>
      <c r="V16" s="705"/>
      <c r="W16" s="706"/>
      <c r="X16" s="1353"/>
      <c r="Y16" s="3730"/>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800"/>
      <c r="Q17" s="1350" t="str">
        <f>B17</f>
        <v>交通便捷度</v>
      </c>
      <c r="R17" s="705" t="s">
        <v>18</v>
      </c>
      <c r="S17" s="706">
        <f>F17</f>
        <v>100</v>
      </c>
      <c r="T17" s="705" t="s">
        <v>18</v>
      </c>
      <c r="U17" s="706">
        <f>H17</f>
        <v>100</v>
      </c>
      <c r="V17" s="705" t="s">
        <v>18</v>
      </c>
      <c r="W17" s="706">
        <f>J17</f>
        <v>100</v>
      </c>
      <c r="X17" s="1353"/>
      <c r="Y17" s="3730"/>
      <c r="Z17" s="1354" t="str">
        <f>Q17</f>
        <v>交通便捷度</v>
      </c>
      <c r="AA17" s="1351">
        <f t="shared" si="3"/>
        <v>1</v>
      </c>
      <c r="AB17" s="1351">
        <f t="shared" si="4"/>
        <v>1</v>
      </c>
      <c r="AC17" s="1351">
        <f t="shared" si="5"/>
        <v>1</v>
      </c>
    </row>
    <row r="18" spans="1:29" ht="15">
      <c r="A18" s="379"/>
      <c r="B18" s="407"/>
      <c r="C18" s="1898"/>
      <c r="D18" s="401"/>
      <c r="E18" s="1899"/>
      <c r="F18" s="401"/>
      <c r="G18" s="1900"/>
      <c r="H18" s="399"/>
      <c r="I18" s="1900"/>
      <c r="J18" s="399"/>
      <c r="K18" s="1896"/>
      <c r="L18" s="2718"/>
      <c r="M18" s="2712"/>
      <c r="N18" s="2712"/>
      <c r="O18" s="2712"/>
      <c r="P18" s="3800"/>
      <c r="Q18" s="1350"/>
      <c r="R18" s="705"/>
      <c r="S18" s="706"/>
      <c r="T18" s="705"/>
      <c r="U18" s="706"/>
      <c r="V18" s="705"/>
      <c r="W18" s="706"/>
      <c r="X18" s="1353"/>
      <c r="Y18" s="3730"/>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800"/>
      <c r="Q19" s="1350" t="str">
        <f>B19</f>
        <v>公共配套设施</v>
      </c>
      <c r="R19" s="705" t="s">
        <v>18</v>
      </c>
      <c r="S19" s="706">
        <f>F19</f>
        <v>100</v>
      </c>
      <c r="T19" s="705" t="s">
        <v>18</v>
      </c>
      <c r="U19" s="706">
        <f>H19</f>
        <v>100</v>
      </c>
      <c r="V19" s="705" t="s">
        <v>18</v>
      </c>
      <c r="W19" s="706">
        <f>J19</f>
        <v>100</v>
      </c>
      <c r="X19" s="1353"/>
      <c r="Y19" s="3730"/>
      <c r="Z19" s="1354" t="str">
        <f>Q19</f>
        <v>公共配套设施</v>
      </c>
      <c r="AA19" s="1351">
        <f t="shared" si="3"/>
        <v>1</v>
      </c>
      <c r="AB19" s="1351">
        <f t="shared" si="4"/>
        <v>1</v>
      </c>
      <c r="AC19" s="1351">
        <f t="shared" si="5"/>
        <v>1</v>
      </c>
    </row>
    <row r="20" spans="1:29" ht="15">
      <c r="A20" s="379"/>
      <c r="B20" s="407"/>
      <c r="C20" s="398"/>
      <c r="D20" s="399"/>
      <c r="E20" s="1894"/>
      <c r="F20" s="399"/>
      <c r="G20" s="1895"/>
      <c r="H20" s="399"/>
      <c r="I20" s="1895"/>
      <c r="J20" s="399"/>
      <c r="K20" s="1896"/>
      <c r="L20" s="2718"/>
      <c r="M20" s="2712"/>
      <c r="N20" s="2712"/>
      <c r="O20" s="2712"/>
      <c r="P20" s="3800"/>
      <c r="Q20" s="1350"/>
      <c r="R20" s="705"/>
      <c r="S20" s="706"/>
      <c r="T20" s="705"/>
      <c r="U20" s="706"/>
      <c r="V20" s="705"/>
      <c r="W20" s="706"/>
      <c r="X20" s="1353"/>
      <c r="Y20" s="3730"/>
      <c r="Z20" s="1354"/>
      <c r="AA20" s="1351">
        <v>1</v>
      </c>
      <c r="AB20" s="1351">
        <v>1</v>
      </c>
      <c r="AC20" s="1351">
        <v>1</v>
      </c>
    </row>
    <row r="21" spans="1:29" ht="28.5">
      <c r="A21" s="379"/>
      <c r="B21" s="1131"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800"/>
      <c r="Q21" s="1350" t="str">
        <f>B21</f>
        <v>基础设施水平</v>
      </c>
      <c r="R21" s="705" t="s">
        <v>14</v>
      </c>
      <c r="S21" s="706">
        <f>F21</f>
        <v>100</v>
      </c>
      <c r="T21" s="705" t="s">
        <v>14</v>
      </c>
      <c r="U21" s="706">
        <f>H21</f>
        <v>100</v>
      </c>
      <c r="V21" s="705" t="s">
        <v>14</v>
      </c>
      <c r="W21" s="706">
        <f>J21</f>
        <v>100</v>
      </c>
      <c r="X21" s="1353"/>
      <c r="Y21" s="3730"/>
      <c r="Z21" s="1354" t="str">
        <f>Q21</f>
        <v>基础设施水平</v>
      </c>
      <c r="AA21" s="1351">
        <f t="shared" ref="AA21" si="8">D21/F21</f>
        <v>1</v>
      </c>
      <c r="AB21" s="1351">
        <f t="shared" ref="AB21" si="9">D21/H21</f>
        <v>1</v>
      </c>
      <c r="AC21" s="1351">
        <f t="shared" ref="AC21" si="10">D21/J21</f>
        <v>1</v>
      </c>
    </row>
    <row r="22" spans="1:29" ht="15">
      <c r="A22" s="379"/>
      <c r="B22" s="1131"/>
      <c r="C22" s="1898"/>
      <c r="D22" s="399"/>
      <c r="E22" s="398"/>
      <c r="F22" s="399"/>
      <c r="G22" s="1901"/>
      <c r="H22" s="399"/>
      <c r="I22" s="398"/>
      <c r="J22" s="399"/>
      <c r="K22" s="1902"/>
      <c r="L22" s="2718"/>
      <c r="M22" s="2712"/>
      <c r="N22" s="2712"/>
      <c r="O22" s="2712"/>
      <c r="P22" s="3800"/>
      <c r="Q22" s="1350"/>
      <c r="R22" s="705"/>
      <c r="S22" s="706"/>
      <c r="T22" s="705"/>
      <c r="U22" s="706"/>
      <c r="V22" s="705"/>
      <c r="W22" s="706"/>
      <c r="X22" s="1353"/>
      <c r="Y22" s="3730"/>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800"/>
      <c r="Q23" s="1350" t="str">
        <f>B23</f>
        <v>自然及人文环境</v>
      </c>
      <c r="R23" s="705" t="s">
        <v>18</v>
      </c>
      <c r="S23" s="706">
        <f>F23</f>
        <v>100</v>
      </c>
      <c r="T23" s="705" t="s">
        <v>18</v>
      </c>
      <c r="U23" s="706">
        <f>H23</f>
        <v>100</v>
      </c>
      <c r="V23" s="705" t="s">
        <v>18</v>
      </c>
      <c r="W23" s="706">
        <f>J23</f>
        <v>100</v>
      </c>
      <c r="X23" s="1353"/>
      <c r="Y23" s="3730"/>
      <c r="Z23" s="1354" t="str">
        <f>Q23</f>
        <v>自然及人文环境</v>
      </c>
      <c r="AA23" s="1351">
        <f>D23/F23</f>
        <v>1</v>
      </c>
      <c r="AB23" s="1351">
        <f>D23/H23</f>
        <v>1</v>
      </c>
      <c r="AC23" s="1351">
        <f>D23/J23</f>
        <v>1</v>
      </c>
    </row>
    <row r="24" spans="1:29" ht="15">
      <c r="A24" s="379"/>
      <c r="B24" s="407"/>
      <c r="C24" s="398"/>
      <c r="D24" s="399"/>
      <c r="E24" s="1894"/>
      <c r="F24" s="399"/>
      <c r="G24" s="1895"/>
      <c r="H24" s="399"/>
      <c r="I24" s="1895"/>
      <c r="J24" s="399"/>
      <c r="K24" s="1896"/>
      <c r="L24" s="2718"/>
      <c r="M24" s="2712"/>
      <c r="N24" s="2712"/>
      <c r="O24" s="2712"/>
      <c r="P24" s="3800"/>
      <c r="Q24" s="1350"/>
      <c r="R24" s="705"/>
      <c r="S24" s="706"/>
      <c r="T24" s="705"/>
      <c r="U24" s="706"/>
      <c r="V24" s="705"/>
      <c r="W24" s="706"/>
      <c r="X24" s="1353"/>
      <c r="Y24" s="3730"/>
      <c r="Z24" s="1354"/>
      <c r="AA24" s="1351">
        <v>1</v>
      </c>
      <c r="AB24" s="1351">
        <v>1</v>
      </c>
      <c r="AC24" s="1351">
        <v>1</v>
      </c>
    </row>
    <row r="25" spans="1:29" ht="15">
      <c r="A25" s="379"/>
      <c r="B25" s="375" t="s">
        <v>1689</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800"/>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30"/>
      <c r="Z25" s="1354" t="str">
        <f>Q25</f>
        <v>楼层-1</v>
      </c>
      <c r="AA25" s="1351">
        <f t="shared" ref="AA25:AA46" si="15">D25/F25</f>
        <v>1</v>
      </c>
      <c r="AB25" s="1351">
        <f t="shared" ref="AB25:AB46" si="16">D25/H25</f>
        <v>1</v>
      </c>
      <c r="AC25" s="1351">
        <f t="shared" ref="AC25:AC46" si="17">D25/J25</f>
        <v>1</v>
      </c>
    </row>
    <row r="26" spans="1:29" ht="15">
      <c r="A26" s="379"/>
      <c r="B26" s="375" t="s">
        <v>1690</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800"/>
      <c r="Q26" s="1350" t="str">
        <f t="shared" si="11"/>
        <v>朝向</v>
      </c>
      <c r="R26" s="705" t="s">
        <v>18</v>
      </c>
      <c r="S26" s="706">
        <f t="shared" si="12"/>
        <v>100</v>
      </c>
      <c r="T26" s="705" t="s">
        <v>18</v>
      </c>
      <c r="U26" s="706">
        <f t="shared" si="13"/>
        <v>100</v>
      </c>
      <c r="V26" s="705" t="s">
        <v>18</v>
      </c>
      <c r="W26" s="706">
        <f t="shared" si="14"/>
        <v>100</v>
      </c>
      <c r="X26" s="1353"/>
      <c r="Y26" s="3730"/>
      <c r="Z26" s="1354" t="str">
        <f>Q26</f>
        <v>朝向</v>
      </c>
      <c r="AA26" s="1351">
        <f t="shared" si="15"/>
        <v>1</v>
      </c>
      <c r="AB26" s="1351">
        <f t="shared" si="16"/>
        <v>1</v>
      </c>
      <c r="AC26" s="1351">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800"/>
      <c r="Q27" s="1341">
        <f t="shared" si="11"/>
        <v>111</v>
      </c>
      <c r="R27" s="701" t="s">
        <v>18</v>
      </c>
      <c r="S27" s="702">
        <f t="shared" si="12"/>
        <v>100</v>
      </c>
      <c r="T27" s="701" t="s">
        <v>18</v>
      </c>
      <c r="U27" s="702">
        <f t="shared" si="13"/>
        <v>100</v>
      </c>
      <c r="V27" s="701" t="s">
        <v>18</v>
      </c>
      <c r="W27" s="702">
        <f t="shared" si="14"/>
        <v>100</v>
      </c>
      <c r="X27" s="703"/>
      <c r="Y27" s="3730"/>
      <c r="Z27" s="52">
        <f>Q27</f>
        <v>111</v>
      </c>
      <c r="AA27" s="1351">
        <f t="shared" si="15"/>
        <v>1</v>
      </c>
      <c r="AB27" s="1351">
        <f t="shared" si="16"/>
        <v>1</v>
      </c>
      <c r="AC27" s="1351">
        <f t="shared" si="17"/>
        <v>1</v>
      </c>
    </row>
    <row r="28" spans="1:29" ht="15">
      <c r="A28" s="379"/>
      <c r="B28" s="1133">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800"/>
      <c r="Q28" s="1350">
        <f t="shared" si="11"/>
        <v>111</v>
      </c>
      <c r="R28" s="705" t="s">
        <v>18</v>
      </c>
      <c r="S28" s="706">
        <f t="shared" si="12"/>
        <v>100</v>
      </c>
      <c r="T28" s="705" t="s">
        <v>18</v>
      </c>
      <c r="U28" s="706">
        <f t="shared" si="13"/>
        <v>100</v>
      </c>
      <c r="V28" s="705" t="s">
        <v>18</v>
      </c>
      <c r="W28" s="706">
        <f t="shared" si="14"/>
        <v>100</v>
      </c>
      <c r="X28" s="1353"/>
      <c r="Y28" s="3730"/>
      <c r="Z28" s="1354">
        <f t="shared" ref="Z28:Z46" si="18">Q28</f>
        <v>111</v>
      </c>
      <c r="AA28" s="1351">
        <f t="shared" si="15"/>
        <v>1</v>
      </c>
      <c r="AB28" s="1351">
        <f t="shared" si="16"/>
        <v>1</v>
      </c>
      <c r="AC28" s="1351">
        <f t="shared" si="17"/>
        <v>1</v>
      </c>
    </row>
    <row r="29" spans="1:29" ht="15">
      <c r="A29" s="379"/>
      <c r="B29" s="1133">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800"/>
      <c r="Q29" s="1350">
        <f t="shared" si="11"/>
        <v>111</v>
      </c>
      <c r="R29" s="705" t="s">
        <v>18</v>
      </c>
      <c r="S29" s="706">
        <f t="shared" si="12"/>
        <v>100</v>
      </c>
      <c r="T29" s="705" t="s">
        <v>18</v>
      </c>
      <c r="U29" s="706">
        <f t="shared" si="13"/>
        <v>100</v>
      </c>
      <c r="V29" s="705" t="s">
        <v>18</v>
      </c>
      <c r="W29" s="706">
        <f t="shared" si="14"/>
        <v>100</v>
      </c>
      <c r="X29" s="1353"/>
      <c r="Y29" s="3730"/>
      <c r="Z29" s="1354">
        <f t="shared" si="18"/>
        <v>111</v>
      </c>
      <c r="AA29" s="1351">
        <f t="shared" si="15"/>
        <v>1</v>
      </c>
      <c r="AB29" s="1351">
        <f t="shared" si="16"/>
        <v>1</v>
      </c>
      <c r="AC29" s="1351">
        <f t="shared" si="17"/>
        <v>1</v>
      </c>
    </row>
    <row r="30" spans="1:29" ht="15">
      <c r="A30" s="379"/>
      <c r="B30" s="1133">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800"/>
      <c r="Q30" s="1350">
        <f t="shared" si="11"/>
        <v>111</v>
      </c>
      <c r="R30" s="705" t="s">
        <v>18</v>
      </c>
      <c r="S30" s="706">
        <f t="shared" si="12"/>
        <v>100</v>
      </c>
      <c r="T30" s="705" t="s">
        <v>18</v>
      </c>
      <c r="U30" s="706">
        <f t="shared" si="13"/>
        <v>100</v>
      </c>
      <c r="V30" s="705" t="s">
        <v>18</v>
      </c>
      <c r="W30" s="706">
        <f t="shared" si="14"/>
        <v>100</v>
      </c>
      <c r="X30" s="1353"/>
      <c r="Y30" s="3730"/>
      <c r="Z30" s="1354">
        <f t="shared" si="18"/>
        <v>111</v>
      </c>
      <c r="AA30" s="1351">
        <f t="shared" si="15"/>
        <v>1</v>
      </c>
      <c r="AB30" s="1351">
        <f t="shared" si="16"/>
        <v>1</v>
      </c>
      <c r="AC30" s="1351">
        <f t="shared" si="17"/>
        <v>1</v>
      </c>
    </row>
    <row r="31" spans="1:29" ht="15.75" thickBot="1">
      <c r="A31" s="387"/>
      <c r="B31" s="1133">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800"/>
      <c r="Q31" s="1350">
        <f t="shared" si="11"/>
        <v>111</v>
      </c>
      <c r="R31" s="705" t="s">
        <v>18</v>
      </c>
      <c r="S31" s="706">
        <f t="shared" si="12"/>
        <v>100</v>
      </c>
      <c r="T31" s="705" t="s">
        <v>18</v>
      </c>
      <c r="U31" s="706">
        <f t="shared" si="13"/>
        <v>100</v>
      </c>
      <c r="V31" s="705" t="s">
        <v>18</v>
      </c>
      <c r="W31" s="706">
        <f t="shared" si="14"/>
        <v>100</v>
      </c>
      <c r="X31" s="1353"/>
      <c r="Y31" s="3730"/>
      <c r="Z31" s="1354">
        <f t="shared" si="18"/>
        <v>111</v>
      </c>
      <c r="AA31" s="1351">
        <f t="shared" si="15"/>
        <v>1</v>
      </c>
      <c r="AB31" s="1351">
        <f t="shared" si="16"/>
        <v>1</v>
      </c>
      <c r="AC31" s="1351">
        <f t="shared" si="17"/>
        <v>1</v>
      </c>
    </row>
    <row r="32" spans="1:29" ht="15">
      <c r="A32" s="391" t="s">
        <v>1691</v>
      </c>
      <c r="B32" s="63" t="s">
        <v>1692</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795" t="s">
        <v>1693</v>
      </c>
      <c r="Q32" s="1350" t="str">
        <f t="shared" si="11"/>
        <v>建筑类型</v>
      </c>
      <c r="R32" s="705" t="s">
        <v>18</v>
      </c>
      <c r="S32" s="706">
        <f t="shared" si="12"/>
        <v>100</v>
      </c>
      <c r="T32" s="705" t="s">
        <v>18</v>
      </c>
      <c r="U32" s="706">
        <f t="shared" si="13"/>
        <v>100</v>
      </c>
      <c r="V32" s="705" t="s">
        <v>18</v>
      </c>
      <c r="W32" s="706">
        <f t="shared" si="14"/>
        <v>100</v>
      </c>
      <c r="X32" s="1353"/>
      <c r="Y32" s="3732" t="s">
        <v>1693</v>
      </c>
      <c r="Z32" s="1354" t="str">
        <f t="shared" si="18"/>
        <v>建筑类型</v>
      </c>
      <c r="AA32" s="1351">
        <f t="shared" si="15"/>
        <v>1</v>
      </c>
      <c r="AB32" s="1351">
        <f t="shared" si="16"/>
        <v>1</v>
      </c>
      <c r="AC32" s="1351">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796"/>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1" t="e">
        <f t="shared" si="15"/>
        <v>#N/A</v>
      </c>
      <c r="AB33" s="1351" t="e">
        <f t="shared" si="16"/>
        <v>#N/A</v>
      </c>
      <c r="AC33" s="1351" t="e">
        <f t="shared" si="17"/>
        <v>#N/A</v>
      </c>
    </row>
    <row r="34" spans="1:29" ht="15">
      <c r="A34" s="423"/>
      <c r="B34" s="375" t="s">
        <v>1695</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796"/>
      <c r="Q34" s="1350" t="str">
        <f t="shared" si="11"/>
        <v>建筑结构</v>
      </c>
      <c r="R34" s="705" t="s">
        <v>18</v>
      </c>
      <c r="S34" s="706">
        <f t="shared" si="12"/>
        <v>100</v>
      </c>
      <c r="T34" s="705" t="s">
        <v>18</v>
      </c>
      <c r="U34" s="706">
        <f t="shared" si="13"/>
        <v>100</v>
      </c>
      <c r="V34" s="705" t="s">
        <v>18</v>
      </c>
      <c r="W34" s="706">
        <f t="shared" si="14"/>
        <v>100</v>
      </c>
      <c r="X34" s="1353"/>
      <c r="Y34" s="3732"/>
      <c r="Z34" s="1354" t="str">
        <f t="shared" si="18"/>
        <v>建筑结构</v>
      </c>
      <c r="AA34" s="1351">
        <f t="shared" si="15"/>
        <v>1</v>
      </c>
      <c r="AB34" s="1351">
        <f t="shared" si="16"/>
        <v>1</v>
      </c>
      <c r="AC34" s="1351">
        <f t="shared" si="17"/>
        <v>1</v>
      </c>
    </row>
    <row r="35" spans="1:29" ht="15">
      <c r="A35" s="423"/>
      <c r="B35" s="375" t="s">
        <v>1696</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796"/>
      <c r="Q35" s="1350" t="str">
        <f t="shared" si="11"/>
        <v>建筑品质</v>
      </c>
      <c r="R35" s="705" t="s">
        <v>18</v>
      </c>
      <c r="S35" s="706">
        <f t="shared" si="12"/>
        <v>100</v>
      </c>
      <c r="T35" s="705" t="s">
        <v>18</v>
      </c>
      <c r="U35" s="706">
        <f t="shared" si="13"/>
        <v>100</v>
      </c>
      <c r="V35" s="705" t="s">
        <v>18</v>
      </c>
      <c r="W35" s="706">
        <f t="shared" si="14"/>
        <v>100</v>
      </c>
      <c r="X35" s="1353"/>
      <c r="Y35" s="3732"/>
      <c r="Z35" s="1354" t="str">
        <f t="shared" si="18"/>
        <v>建筑品质</v>
      </c>
      <c r="AA35" s="1351">
        <f t="shared" si="15"/>
        <v>1</v>
      </c>
      <c r="AB35" s="1351">
        <f t="shared" si="16"/>
        <v>1</v>
      </c>
      <c r="AC35" s="1351">
        <f t="shared" si="17"/>
        <v>1</v>
      </c>
    </row>
    <row r="36" spans="1:29" ht="15">
      <c r="A36" s="423"/>
      <c r="B36" s="375" t="s">
        <v>1697</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796"/>
      <c r="Q36" s="1350" t="str">
        <f t="shared" si="11"/>
        <v>公共部分装修</v>
      </c>
      <c r="R36" s="705" t="s">
        <v>18</v>
      </c>
      <c r="S36" s="706">
        <f t="shared" si="12"/>
        <v>100</v>
      </c>
      <c r="T36" s="705" t="s">
        <v>18</v>
      </c>
      <c r="U36" s="706">
        <f t="shared" si="13"/>
        <v>100</v>
      </c>
      <c r="V36" s="705" t="s">
        <v>18</v>
      </c>
      <c r="W36" s="706">
        <f t="shared" si="14"/>
        <v>100</v>
      </c>
      <c r="X36" s="1353"/>
      <c r="Y36" s="3732"/>
      <c r="Z36" s="1354" t="str">
        <f t="shared" si="18"/>
        <v>公共部分装修</v>
      </c>
      <c r="AA36" s="1351">
        <f t="shared" si="15"/>
        <v>1</v>
      </c>
      <c r="AB36" s="1351">
        <f t="shared" si="16"/>
        <v>1</v>
      </c>
      <c r="AC36" s="1351">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96"/>
      <c r="Q37" s="1341"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1699</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796" t="s">
        <v>1693</v>
      </c>
      <c r="Q38" s="1350" t="str">
        <f t="shared" si="11"/>
        <v>物业管理</v>
      </c>
      <c r="R38" s="705" t="s">
        <v>18</v>
      </c>
      <c r="S38" s="706">
        <f t="shared" si="12"/>
        <v>100</v>
      </c>
      <c r="T38" s="705" t="s">
        <v>18</v>
      </c>
      <c r="U38" s="706">
        <f t="shared" si="13"/>
        <v>100</v>
      </c>
      <c r="V38" s="705" t="s">
        <v>18</v>
      </c>
      <c r="W38" s="706">
        <f t="shared" si="14"/>
        <v>100</v>
      </c>
      <c r="X38" s="1353"/>
      <c r="Y38" s="3732" t="s">
        <v>1693</v>
      </c>
      <c r="Z38" s="1354" t="str">
        <f t="shared" si="18"/>
        <v>物业管理</v>
      </c>
      <c r="AA38" s="1351">
        <f t="shared" si="15"/>
        <v>1</v>
      </c>
      <c r="AB38" s="1351">
        <f t="shared" si="16"/>
        <v>1</v>
      </c>
      <c r="AC38" s="1351">
        <f t="shared" si="17"/>
        <v>1</v>
      </c>
    </row>
    <row r="39" spans="1:29" ht="15">
      <c r="A39" s="423"/>
      <c r="B39" s="375" t="s">
        <v>1700</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796"/>
      <c r="Q39" s="1350" t="str">
        <f t="shared" si="11"/>
        <v>市政基础设施</v>
      </c>
      <c r="R39" s="705" t="s">
        <v>18</v>
      </c>
      <c r="S39" s="706">
        <f t="shared" si="12"/>
        <v>100</v>
      </c>
      <c r="T39" s="705" t="s">
        <v>18</v>
      </c>
      <c r="U39" s="706">
        <f t="shared" si="13"/>
        <v>100</v>
      </c>
      <c r="V39" s="705" t="s">
        <v>18</v>
      </c>
      <c r="W39" s="706">
        <f t="shared" si="14"/>
        <v>100</v>
      </c>
      <c r="X39" s="1353"/>
      <c r="Y39" s="3732"/>
      <c r="Z39" s="1354" t="str">
        <f t="shared" si="18"/>
        <v>市政基础设施</v>
      </c>
      <c r="AA39" s="1351">
        <f t="shared" si="15"/>
        <v>1</v>
      </c>
      <c r="AB39" s="1351">
        <f t="shared" si="16"/>
        <v>1</v>
      </c>
      <c r="AC39" s="1351">
        <f t="shared" si="17"/>
        <v>1</v>
      </c>
    </row>
    <row r="40" spans="1:29" ht="15">
      <c r="A40" s="423"/>
      <c r="B40" s="375" t="s">
        <v>1701</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796"/>
      <c r="Q40" s="1350" t="str">
        <f t="shared" si="11"/>
        <v>房型</v>
      </c>
      <c r="R40" s="705" t="s">
        <v>18</v>
      </c>
      <c r="S40" s="706">
        <f t="shared" si="12"/>
        <v>100</v>
      </c>
      <c r="T40" s="705" t="s">
        <v>18</v>
      </c>
      <c r="U40" s="706">
        <f t="shared" si="13"/>
        <v>100</v>
      </c>
      <c r="V40" s="705" t="s">
        <v>18</v>
      </c>
      <c r="W40" s="706">
        <f t="shared" si="14"/>
        <v>100</v>
      </c>
      <c r="X40" s="1353"/>
      <c r="Y40" s="3732"/>
      <c r="Z40" s="1354" t="str">
        <f t="shared" si="18"/>
        <v>房型</v>
      </c>
      <c r="AA40" s="1351">
        <f t="shared" si="15"/>
        <v>1</v>
      </c>
      <c r="AB40" s="1351">
        <f t="shared" si="16"/>
        <v>1</v>
      </c>
      <c r="AC40" s="1351">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796"/>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1">
        <f t="shared" si="15"/>
        <v>1</v>
      </c>
      <c r="AB41" s="1351">
        <f t="shared" si="16"/>
        <v>1</v>
      </c>
      <c r="AC41" s="1351">
        <f t="shared" si="17"/>
        <v>1</v>
      </c>
    </row>
    <row r="42" spans="1:29" ht="15">
      <c r="A42" s="423"/>
      <c r="B42" s="375" t="s">
        <v>1703</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796"/>
      <c r="Q42" s="1350" t="str">
        <f t="shared" si="11"/>
        <v>内部装修</v>
      </c>
      <c r="R42" s="705" t="s">
        <v>18</v>
      </c>
      <c r="S42" s="706">
        <f t="shared" si="12"/>
        <v>100</v>
      </c>
      <c r="T42" s="705" t="s">
        <v>18</v>
      </c>
      <c r="U42" s="706">
        <f t="shared" si="13"/>
        <v>100</v>
      </c>
      <c r="V42" s="705" t="s">
        <v>18</v>
      </c>
      <c r="W42" s="706">
        <f t="shared" si="14"/>
        <v>100</v>
      </c>
      <c r="X42" s="1353"/>
      <c r="Y42" s="3732"/>
      <c r="Z42" s="1354" t="str">
        <f t="shared" si="18"/>
        <v>内部装修</v>
      </c>
      <c r="AA42" s="1351">
        <f t="shared" si="15"/>
        <v>1</v>
      </c>
      <c r="AB42" s="1351">
        <f t="shared" si="16"/>
        <v>1</v>
      </c>
      <c r="AC42" s="1351">
        <f t="shared" si="17"/>
        <v>1</v>
      </c>
    </row>
    <row r="43" spans="1:29" ht="15">
      <c r="A43" s="423"/>
      <c r="B43" s="375" t="s">
        <v>1704</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796"/>
      <c r="Q43" s="1350" t="str">
        <f t="shared" si="11"/>
        <v>内部装修维护情况</v>
      </c>
      <c r="R43" s="705" t="s">
        <v>18</v>
      </c>
      <c r="S43" s="706">
        <f t="shared" si="12"/>
        <v>100</v>
      </c>
      <c r="T43" s="705" t="s">
        <v>18</v>
      </c>
      <c r="U43" s="706">
        <f t="shared" si="13"/>
        <v>100</v>
      </c>
      <c r="V43" s="705" t="s">
        <v>18</v>
      </c>
      <c r="W43" s="706">
        <f t="shared" si="14"/>
        <v>100</v>
      </c>
      <c r="X43" s="1353"/>
      <c r="Y43" s="3732"/>
      <c r="Z43" s="1354" t="str">
        <f t="shared" si="18"/>
        <v>内部装修维护情况</v>
      </c>
      <c r="AA43" s="1351">
        <f t="shared" si="15"/>
        <v>1</v>
      </c>
      <c r="AB43" s="1351">
        <f t="shared" si="16"/>
        <v>1</v>
      </c>
      <c r="AC43" s="1351">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796"/>
      <c r="Q44" s="1341">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796"/>
      <c r="Q45" s="1350">
        <f t="shared" si="11"/>
        <v>111</v>
      </c>
      <c r="R45" s="705" t="s">
        <v>18</v>
      </c>
      <c r="S45" s="706">
        <f t="shared" si="12"/>
        <v>100</v>
      </c>
      <c r="T45" s="705" t="s">
        <v>18</v>
      </c>
      <c r="U45" s="706">
        <f t="shared" si="13"/>
        <v>100</v>
      </c>
      <c r="V45" s="705" t="s">
        <v>18</v>
      </c>
      <c r="W45" s="706">
        <f t="shared" si="14"/>
        <v>100</v>
      </c>
      <c r="X45" s="1353"/>
      <c r="Y45" s="3732"/>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797"/>
      <c r="Q46" s="1350">
        <f t="shared" si="11"/>
        <v>111</v>
      </c>
      <c r="R46" s="705" t="s">
        <v>17</v>
      </c>
      <c r="S46" s="706">
        <f t="shared" si="12"/>
        <v>100</v>
      </c>
      <c r="T46" s="705" t="s">
        <v>17</v>
      </c>
      <c r="U46" s="706">
        <f t="shared" si="13"/>
        <v>100</v>
      </c>
      <c r="V46" s="705" t="s">
        <v>17</v>
      </c>
      <c r="W46" s="706">
        <f t="shared" si="14"/>
        <v>100</v>
      </c>
      <c r="X46" s="1353"/>
      <c r="Y46" s="3798"/>
      <c r="Z46" s="1354">
        <f t="shared" si="18"/>
        <v>111</v>
      </c>
      <c r="AA46" s="1351">
        <f t="shared" si="15"/>
        <v>1</v>
      </c>
      <c r="AB46" s="1351">
        <f t="shared" si="16"/>
        <v>1</v>
      </c>
      <c r="AC46" s="1351">
        <f t="shared" si="17"/>
        <v>1</v>
      </c>
    </row>
    <row r="47" spans="1:29" ht="15">
      <c r="A47" s="430" t="s">
        <v>1705</v>
      </c>
      <c r="B47" s="431"/>
      <c r="C47" s="1154" t="s">
        <v>16</v>
      </c>
      <c r="D47" s="1155"/>
      <c r="E47" s="1156"/>
      <c r="F47" s="1157"/>
      <c r="G47" s="1158"/>
      <c r="H47" s="1159"/>
      <c r="I47" s="1156"/>
      <c r="J47" s="1159"/>
      <c r="K47" s="1911"/>
      <c r="L47" s="2720"/>
      <c r="M47" s="2721"/>
      <c r="N47" s="2712"/>
      <c r="O47" s="2721"/>
      <c r="P47" s="3728" t="str">
        <f>A47</f>
        <v>成交单价（元/平方米）</v>
      </c>
      <c r="Q47" s="3728"/>
      <c r="R47" s="3794">
        <f>E47</f>
        <v>0</v>
      </c>
      <c r="S47" s="3794"/>
      <c r="T47" s="3794">
        <f>G47</f>
        <v>0</v>
      </c>
      <c r="U47" s="3794"/>
      <c r="V47" s="3794">
        <f>I47</f>
        <v>0</v>
      </c>
      <c r="W47" s="3794"/>
      <c r="X47" s="690"/>
      <c r="Y47" s="712"/>
      <c r="Z47" s="690"/>
      <c r="AA47" s="690"/>
      <c r="AB47" s="690"/>
      <c r="AC47" s="690"/>
    </row>
    <row r="48" spans="1:29" ht="15.75" thickBot="1">
      <c r="A48" s="437" t="s">
        <v>1706</v>
      </c>
      <c r="B48" s="438"/>
      <c r="C48" s="1160" t="e">
        <f>R49</f>
        <v>#DIV/0!</v>
      </c>
      <c r="D48" s="2314" t="s">
        <v>2134</v>
      </c>
      <c r="E48" s="1161" t="e">
        <f>R48</f>
        <v>#DIV/0!</v>
      </c>
      <c r="F48" s="2315"/>
      <c r="G48" s="1160" t="e">
        <f>T48</f>
        <v>#DIV/0!</v>
      </c>
      <c r="H48" s="2315"/>
      <c r="I48" s="1161" t="e">
        <f>V48</f>
        <v>#DIV/0!</v>
      </c>
      <c r="J48" s="2315"/>
      <c r="K48" s="2316">
        <f>F48+H48+J48</f>
        <v>0</v>
      </c>
      <c r="L48" s="2720"/>
      <c r="M48" s="2721"/>
      <c r="N48" s="2721"/>
      <c r="O48" s="2721"/>
      <c r="P48" s="3728" t="str">
        <f>A48</f>
        <v>比较价值（元/平方米）</v>
      </c>
      <c r="Q48" s="3728"/>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2"/>
      <c r="L49" s="2720"/>
      <c r="M49" s="2721"/>
      <c r="N49" s="2721"/>
      <c r="O49" s="2721"/>
      <c r="P49" s="3722" t="str">
        <f>A49</f>
        <v>估价对象XX用房的比较价值（楼面单价，元/平方米）</v>
      </c>
      <c r="Q49" s="3723"/>
      <c r="R49" s="3793" t="e">
        <f>IF(F1="售价",ROUND(IF(D48="简单平均",AVERAGE(R48:V48),R48*F48+T48*H48+V48*J48),0),ROUND(IF(D48="简单平均",AVERAGE(R48:V48),R48*F48+T48*H48+V48*J48),1))</f>
        <v>#DIV/0!</v>
      </c>
      <c r="S49" s="3793"/>
      <c r="T49" s="3793"/>
      <c r="U49" s="3793"/>
      <c r="V49" s="3793"/>
      <c r="W49" s="379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1711</v>
      </c>
      <c r="B57" s="690"/>
      <c r="C57" s="695"/>
      <c r="D57" s="695"/>
      <c r="E57" s="695"/>
      <c r="F57" s="696"/>
      <c r="G57" s="696"/>
      <c r="H57" s="695"/>
      <c r="I57" s="695"/>
      <c r="J57" s="695"/>
      <c r="K57" s="941"/>
      <c r="L57" s="942"/>
      <c r="M57" s="940"/>
      <c r="N57" s="940"/>
      <c r="O57" s="940"/>
      <c r="P57" s="1915"/>
      <c r="Q57" s="453"/>
    </row>
    <row r="58" spans="1:29" s="457" customFormat="1" ht="15">
      <c r="A58" s="454" t="s">
        <v>1712</v>
      </c>
      <c r="B58" s="455"/>
      <c r="C58" s="1185" t="str">
        <f>YEAR(C7)&amp;"-"&amp;MONTH(C7)</f>
        <v>2024-9</v>
      </c>
      <c r="D58" s="1184">
        <f>EDATE(C58,-1)</f>
        <v>45505</v>
      </c>
      <c r="E58" s="1184">
        <f>EDATE(D58,-1)</f>
        <v>45474</v>
      </c>
      <c r="F58" s="1184">
        <f t="shared" ref="F58:O58" si="19">EDATE(E58,-1)</f>
        <v>45444</v>
      </c>
      <c r="G58" s="1184">
        <f t="shared" si="19"/>
        <v>45413</v>
      </c>
      <c r="H58" s="1184">
        <f t="shared" si="19"/>
        <v>45383</v>
      </c>
      <c r="I58" s="1184">
        <f t="shared" si="19"/>
        <v>45352</v>
      </c>
      <c r="J58" s="1184">
        <f t="shared" si="19"/>
        <v>45323</v>
      </c>
      <c r="K58" s="1184">
        <f t="shared" si="19"/>
        <v>45292</v>
      </c>
      <c r="L58" s="1184">
        <f t="shared" si="19"/>
        <v>45261</v>
      </c>
      <c r="M58" s="1184">
        <f t="shared" si="19"/>
        <v>45231</v>
      </c>
      <c r="N58" s="1184">
        <f t="shared" si="19"/>
        <v>45200</v>
      </c>
      <c r="O58" s="1184">
        <f t="shared" si="19"/>
        <v>45170</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1713</v>
      </c>
      <c r="B60" s="465"/>
      <c r="C60" s="466"/>
      <c r="D60" s="467"/>
      <c r="E60" s="467"/>
      <c r="F60" s="467"/>
      <c r="G60" s="467"/>
      <c r="H60" s="467"/>
      <c r="I60" s="467"/>
      <c r="J60" s="467"/>
      <c r="K60" s="467"/>
      <c r="L60" s="467"/>
      <c r="M60" s="468"/>
      <c r="N60" s="467"/>
      <c r="O60" s="468"/>
      <c r="P60" s="1917"/>
      <c r="Q60" s="453"/>
    </row>
    <row r="61" spans="1:29" s="108" customFormat="1" ht="15">
      <c r="A61" s="470" t="s">
        <v>1714</v>
      </c>
      <c r="B61" s="459"/>
      <c r="C61" s="471" t="s">
        <v>1715</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1716</v>
      </c>
      <c r="B63" s="477" t="s">
        <v>1682</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1685</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1731</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1732</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1691</v>
      </c>
      <c r="B100" s="477" t="s">
        <v>1733</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1735</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9"/>
      <c r="Q106" s="453"/>
    </row>
    <row r="107" spans="1:17" ht="15" thickTop="1">
      <c r="A107" s="548"/>
      <c r="B107" s="487" t="s">
        <v>1736</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1737</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1738</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9"/>
      <c r="Q115" s="453"/>
    </row>
    <row r="116" spans="1:17" ht="15" thickTop="1">
      <c r="A116" s="548"/>
      <c r="B116" s="487" t="s">
        <v>1739</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1740</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1741</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9"/>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1743</v>
      </c>
    </row>
    <row r="137" spans="1:17" ht="15">
      <c r="B137" s="1927" t="s">
        <v>1744</v>
      </c>
      <c r="C137" s="1928"/>
      <c r="D137" s="1928"/>
      <c r="E137" s="1928"/>
      <c r="F137" s="1928"/>
      <c r="G137" s="1929"/>
      <c r="H137" s="1930"/>
      <c r="I137" s="1931" t="s">
        <v>1745</v>
      </c>
      <c r="J137" s="1928"/>
      <c r="K137" s="1932"/>
    </row>
    <row r="138" spans="1:17" ht="15">
      <c r="B138" s="1933"/>
      <c r="C138" s="137" t="s">
        <v>1746</v>
      </c>
      <c r="D138" s="137" t="s">
        <v>1747</v>
      </c>
      <c r="E138" s="1934" t="s">
        <v>1748</v>
      </c>
      <c r="F138" s="1935" t="s">
        <v>1749</v>
      </c>
      <c r="G138" s="137" t="s">
        <v>1747</v>
      </c>
      <c r="H138" s="138" t="s">
        <v>1748</v>
      </c>
      <c r="I138" s="1936"/>
      <c r="J138" s="137" t="s">
        <v>1750</v>
      </c>
      <c r="K138" s="138" t="s">
        <v>1751</v>
      </c>
    </row>
    <row r="139" spans="1:17" ht="15">
      <c r="B139" s="867">
        <v>6</v>
      </c>
      <c r="C139" s="868">
        <v>96</v>
      </c>
      <c r="D139" s="1937" t="s">
        <v>1752</v>
      </c>
      <c r="E139" s="869">
        <v>100</v>
      </c>
      <c r="F139" s="870">
        <v>102.5</v>
      </c>
      <c r="G139" s="1937" t="s">
        <v>1752</v>
      </c>
      <c r="H139" s="871">
        <v>105</v>
      </c>
      <c r="I139" s="1938" t="s">
        <v>1753</v>
      </c>
      <c r="J139" s="868">
        <v>20</v>
      </c>
      <c r="K139" s="872">
        <f>C145/(J139-2)</f>
        <v>4.0555555555555553E-3</v>
      </c>
    </row>
    <row r="140" spans="1:17" ht="15">
      <c r="B140" s="873">
        <v>5</v>
      </c>
      <c r="C140" s="874">
        <v>100</v>
      </c>
      <c r="D140" s="874"/>
      <c r="E140" s="875"/>
      <c r="F140" s="876">
        <v>102</v>
      </c>
      <c r="G140" s="874"/>
      <c r="H140" s="877"/>
      <c r="I140" s="1939" t="s">
        <v>1754</v>
      </c>
      <c r="J140" s="271">
        <f>ROUNDUP((J139-1)/2,0)</f>
        <v>10</v>
      </c>
      <c r="K140" s="878">
        <v>100</v>
      </c>
    </row>
    <row r="141" spans="1:17" ht="15">
      <c r="B141" s="873">
        <v>4</v>
      </c>
      <c r="C141" s="874">
        <v>102</v>
      </c>
      <c r="D141" s="874"/>
      <c r="E141" s="875"/>
      <c r="F141" s="876">
        <v>101.5</v>
      </c>
      <c r="G141" s="874"/>
      <c r="H141" s="877"/>
      <c r="I141" s="1939" t="s">
        <v>1755</v>
      </c>
      <c r="J141" s="271">
        <v>1</v>
      </c>
      <c r="K141" s="879">
        <f>ROUND(100+(J141-J140)*K139*100,1)</f>
        <v>96.4</v>
      </c>
    </row>
    <row r="142" spans="1:17" ht="15">
      <c r="B142" s="873">
        <v>3</v>
      </c>
      <c r="C142" s="874">
        <v>103</v>
      </c>
      <c r="D142" s="874"/>
      <c r="E142" s="875"/>
      <c r="F142" s="876">
        <v>101</v>
      </c>
      <c r="G142" s="874"/>
      <c r="H142" s="877"/>
      <c r="I142" s="1939" t="s">
        <v>1756</v>
      </c>
      <c r="J142" s="271">
        <f>J139</f>
        <v>20</v>
      </c>
      <c r="K142" s="880">
        <v>95</v>
      </c>
    </row>
    <row r="143" spans="1:17" ht="15">
      <c r="B143" s="873">
        <v>2</v>
      </c>
      <c r="C143" s="874">
        <v>100</v>
      </c>
      <c r="D143" s="874"/>
      <c r="E143" s="875"/>
      <c r="F143" s="876">
        <v>100.5</v>
      </c>
      <c r="G143" s="874"/>
      <c r="H143" s="877"/>
      <c r="I143" s="1939" t="s">
        <v>1757</v>
      </c>
      <c r="J143" s="874">
        <v>15</v>
      </c>
      <c r="K143" s="879">
        <f>ROUND(100+(J143-J140)*K139*100,1)</f>
        <v>102</v>
      </c>
    </row>
    <row r="144" spans="1:17" ht="15">
      <c r="B144" s="873">
        <v>1</v>
      </c>
      <c r="C144" s="874">
        <v>98</v>
      </c>
      <c r="D144" s="1940" t="s">
        <v>1758</v>
      </c>
      <c r="E144" s="875">
        <v>102</v>
      </c>
      <c r="F144" s="881">
        <v>100</v>
      </c>
      <c r="G144" s="1940" t="s">
        <v>1758</v>
      </c>
      <c r="H144" s="877">
        <v>105</v>
      </c>
      <c r="I144" s="1939" t="s">
        <v>1757</v>
      </c>
      <c r="J144" s="874">
        <v>18</v>
      </c>
      <c r="K144" s="879">
        <f>ROUND(100+(J144-J140)*K139*100,1)</f>
        <v>103.2</v>
      </c>
    </row>
    <row r="145" spans="2:11" ht="15.75" thickBot="1">
      <c r="B145" s="1941" t="s">
        <v>1759</v>
      </c>
      <c r="C145" s="882">
        <f>ROUND(MAX(C139:C144)/MIN(C139:C144)-1,3)</f>
        <v>7.2999999999999995E-2</v>
      </c>
      <c r="D145" s="883"/>
      <c r="E145" s="883"/>
      <c r="F145" s="1942" t="s">
        <v>1760</v>
      </c>
      <c r="G145" s="1943"/>
      <c r="H145" s="1944"/>
      <c r="I145" s="1945" t="s">
        <v>1757</v>
      </c>
      <c r="J145" s="884">
        <v>8</v>
      </c>
      <c r="K145" s="885">
        <f>ROUND(100+(J145-J140)*K139*100,1)</f>
        <v>99.2</v>
      </c>
    </row>
    <row r="147" spans="2:11">
      <c r="B147" s="1926" t="s">
        <v>1761</v>
      </c>
    </row>
    <row r="148" spans="2:11">
      <c r="B148" s="1926"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0" priority="19" stopIfTrue="1" operator="containsText" text="超过">
      <formula>NOT(ISERROR(SEARCH("超过",F52)))</formula>
    </cfRule>
  </conditionalFormatting>
  <conditionalFormatting sqref="J54">
    <cfRule type="containsText" dxfId="119" priority="18" stopIfTrue="1" operator="containsText" text="超过">
      <formula>NOT(ISERROR(SEARCH("超过",J54)))</formula>
    </cfRule>
  </conditionalFormatting>
  <conditionalFormatting sqref="H54">
    <cfRule type="containsText" dxfId="118" priority="17" stopIfTrue="1" operator="containsText" text="超过">
      <formula>NOT(ISERROR(SEARCH("超过",H54)))</formula>
    </cfRule>
  </conditionalFormatting>
  <conditionalFormatting sqref="F54">
    <cfRule type="containsText" dxfId="117" priority="16" stopIfTrue="1" operator="containsText" text="超过">
      <formula>NOT(ISERROR(SEARCH("超过",F54)))</formula>
    </cfRule>
  </conditionalFormatting>
  <conditionalFormatting sqref="F53 H53 J53">
    <cfRule type="containsText" dxfId="116" priority="15" stopIfTrue="1" operator="containsText" text="超过">
      <formula>NOT(ISERROR(SEARCH("超过",F53)))</formula>
    </cfRule>
  </conditionalFormatting>
  <conditionalFormatting sqref="E52">
    <cfRule type="expression" dxfId="115" priority="14" stopIfTrue="1">
      <formula>$F$52="超过30%"</formula>
    </cfRule>
  </conditionalFormatting>
  <conditionalFormatting sqref="G54">
    <cfRule type="expression" dxfId="114" priority="12" stopIfTrue="1">
      <formula>$H$54="超过30%"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F7:F46 H7:H46 J7:J46">
    <cfRule type="cellIs" dxfId="10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5" t="s">
        <v>1763</v>
      </c>
      <c r="C1" s="1237" t="s">
        <v>1659</v>
      </c>
      <c r="D1" s="1224"/>
      <c r="E1" s="3422"/>
      <c r="F1" s="1876"/>
      <c r="G1" s="1234" t="s">
        <v>1764</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1459</v>
      </c>
      <c r="B2" s="1164" t="b">
        <f>IF(E1="项目模式",IF(C2="——",ROUND(C49*D3/10000,0),ROUND(C49*D3/10000,0)-D2),IF(E1="单套模式",IF(C2="——",ROUND(C49*D3/10000,4),ROUND(C49*D3/10000,4)-D2)))</f>
        <v>0</v>
      </c>
      <c r="C2" s="1878"/>
      <c r="D2" s="1115" t="e">
        <f ca="1">IF(E1="项目模式",SUMIF(INDIRECT("'"&amp;F2&amp;"'"&amp;"!A:A"),"承租人权益价值",INDIRECT("'"&amp;F2&amp;"'"&amp;"!c:c")),SUMIF(INDIRECT("'"&amp;F2&amp;"'"&amp;"!A:A"),"承租人权益价值（单套）",INDIRECT("'"&amp;F2&amp;"'"&amp;"!c:c")))</f>
        <v>#REF!</v>
      </c>
      <c r="E2" s="1879" t="s">
        <v>1460</v>
      </c>
      <c r="F2" s="1880"/>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1461</v>
      </c>
      <c r="B3" s="558">
        <f>IF(C2="——",C49,ROUND(B2*10000/D3,0))</f>
        <v>0</v>
      </c>
      <c r="C3" s="354" t="s">
        <v>1765</v>
      </c>
      <c r="D3" s="353">
        <f>IF(D1="",'数据-汇总表'!E3,SUMIF('数据-汇总表'!$C19:$C33,D1,'数据-汇总表'!$E19:$E33))</f>
        <v>270951.53999999998</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1766</v>
      </c>
      <c r="B4" s="356"/>
      <c r="C4" s="3725" t="s">
        <v>1767</v>
      </c>
      <c r="D4" s="3737"/>
      <c r="E4" s="3738" t="s">
        <v>1768</v>
      </c>
      <c r="F4" s="3739"/>
      <c r="G4" s="3725" t="s">
        <v>1769</v>
      </c>
      <c r="H4" s="3737"/>
      <c r="I4" s="3725" t="s">
        <v>1770</v>
      </c>
      <c r="J4" s="3737"/>
      <c r="K4" s="559" t="s">
        <v>1771</v>
      </c>
      <c r="L4" s="2711"/>
      <c r="M4" s="2712"/>
      <c r="N4" s="2712"/>
      <c r="O4" s="2712"/>
      <c r="P4" s="3740" t="s">
        <v>1772</v>
      </c>
      <c r="Q4" s="3741"/>
      <c r="R4" s="3746" t="s">
        <v>1768</v>
      </c>
      <c r="S4" s="3747"/>
      <c r="T4" s="3746" t="s">
        <v>1769</v>
      </c>
      <c r="U4" s="3747"/>
      <c r="V4" s="3733" t="s">
        <v>1770</v>
      </c>
      <c r="W4" s="3733"/>
      <c r="X4" s="1353"/>
      <c r="Y4" s="3746" t="s">
        <v>1772</v>
      </c>
      <c r="Z4" s="3747"/>
      <c r="AA4" s="3734" t="s">
        <v>1768</v>
      </c>
      <c r="AB4" s="3733" t="s">
        <v>1769</v>
      </c>
      <c r="AC4" s="3734" t="s">
        <v>1770</v>
      </c>
    </row>
    <row r="5" spans="1:29" ht="15">
      <c r="A5" s="358"/>
      <c r="B5" s="359"/>
      <c r="C5" s="3754" t="s">
        <v>1670</v>
      </c>
      <c r="D5" s="3755"/>
      <c r="E5" s="3761" t="s">
        <v>1671</v>
      </c>
      <c r="F5" s="3762"/>
      <c r="G5" s="3754" t="s">
        <v>1672</v>
      </c>
      <c r="H5" s="3755"/>
      <c r="I5" s="3754" t="s">
        <v>1673</v>
      </c>
      <c r="J5" s="3755"/>
      <c r="K5" s="559"/>
      <c r="L5" s="2711"/>
      <c r="M5" s="2712"/>
      <c r="N5" s="2712"/>
      <c r="O5" s="2712"/>
      <c r="P5" s="3742"/>
      <c r="Q5" s="3743"/>
      <c r="R5" s="3748"/>
      <c r="S5" s="3749"/>
      <c r="T5" s="3748"/>
      <c r="U5" s="3749"/>
      <c r="V5" s="3733"/>
      <c r="W5" s="3733"/>
      <c r="X5" s="1353"/>
      <c r="Y5" s="3748"/>
      <c r="Z5" s="3749"/>
      <c r="AA5" s="3735"/>
      <c r="AB5" s="3733"/>
      <c r="AC5" s="3735"/>
    </row>
    <row r="6" spans="1:29" ht="15.75" thickBot="1">
      <c r="A6" s="360"/>
      <c r="B6" s="361"/>
      <c r="C6" s="3752" t="s">
        <v>1674</v>
      </c>
      <c r="D6" s="3753"/>
      <c r="E6" s="3759" t="s">
        <v>1674</v>
      </c>
      <c r="F6" s="3760"/>
      <c r="G6" s="3752" t="s">
        <v>1674</v>
      </c>
      <c r="H6" s="3753"/>
      <c r="I6" s="3752" t="s">
        <v>1674</v>
      </c>
      <c r="J6" s="3753"/>
      <c r="K6" s="559" t="s">
        <v>1675</v>
      </c>
      <c r="L6" s="2711"/>
      <c r="M6" s="2712"/>
      <c r="N6" s="2712"/>
      <c r="O6" s="2712"/>
      <c r="P6" s="3744"/>
      <c r="Q6" s="3745"/>
      <c r="R6" s="3748"/>
      <c r="S6" s="3749"/>
      <c r="T6" s="3750"/>
      <c r="U6" s="3751"/>
      <c r="V6" s="3733"/>
      <c r="W6" s="3733"/>
      <c r="X6" s="1353"/>
      <c r="Y6" s="3750"/>
      <c r="Z6" s="3751"/>
      <c r="AA6" s="3736"/>
      <c r="AB6" s="3733"/>
      <c r="AC6" s="3736"/>
    </row>
    <row r="7" spans="1:29" s="108" customFormat="1" ht="15.75" thickBot="1">
      <c r="A7" s="362" t="s">
        <v>1676</v>
      </c>
      <c r="B7" s="363"/>
      <c r="C7" s="364">
        <f>'数据-取费表'!B2</f>
        <v>45540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56" t="s">
        <v>1677</v>
      </c>
      <c r="Q7" s="3758"/>
      <c r="R7" s="701" t="s">
        <v>14</v>
      </c>
      <c r="S7" s="702">
        <f t="shared" ref="S7:S15" si="0">F7</f>
        <v>0</v>
      </c>
      <c r="T7" s="701" t="s">
        <v>14</v>
      </c>
      <c r="U7" s="702">
        <f t="shared" ref="U7:U15" si="1">H7</f>
        <v>0</v>
      </c>
      <c r="V7" s="701" t="s">
        <v>14</v>
      </c>
      <c r="W7" s="702">
        <f t="shared" ref="W7:W15" si="2">J7</f>
        <v>0</v>
      </c>
      <c r="X7" s="703"/>
      <c r="Y7" s="3756" t="s">
        <v>1677</v>
      </c>
      <c r="Z7" s="3757"/>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56" t="s">
        <v>1680</v>
      </c>
      <c r="Q8" s="3757"/>
      <c r="R8" s="701" t="s">
        <v>14</v>
      </c>
      <c r="S8" s="702">
        <f t="shared" si="0"/>
        <v>100</v>
      </c>
      <c r="T8" s="701" t="s">
        <v>14</v>
      </c>
      <c r="U8" s="702">
        <f t="shared" si="1"/>
        <v>100</v>
      </c>
      <c r="V8" s="701" t="s">
        <v>14</v>
      </c>
      <c r="W8" s="702">
        <f t="shared" si="2"/>
        <v>100</v>
      </c>
      <c r="X8" s="703"/>
      <c r="Y8" s="3756" t="s">
        <v>1680</v>
      </c>
      <c r="Z8" s="3757"/>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7" t="s">
        <v>1683</v>
      </c>
      <c r="Q9" s="1341"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7"/>
      <c r="Q10" s="1341"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7"/>
      <c r="Q11" s="1341"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7"/>
      <c r="Q12" s="1341">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7"/>
      <c r="Q13" s="1341">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7"/>
      <c r="Q14" s="1341">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1687</v>
      </c>
      <c r="B15" s="61" t="s">
        <v>1774</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99" t="s">
        <v>1688</v>
      </c>
      <c r="Q15" s="1350" t="str">
        <f t="shared" si="6"/>
        <v>商业繁华度</v>
      </c>
      <c r="R15" s="705" t="s">
        <v>14</v>
      </c>
      <c r="S15" s="706">
        <f t="shared" si="0"/>
        <v>100</v>
      </c>
      <c r="T15" s="705" t="s">
        <v>14</v>
      </c>
      <c r="U15" s="706">
        <f t="shared" si="1"/>
        <v>100</v>
      </c>
      <c r="V15" s="705" t="s">
        <v>14</v>
      </c>
      <c r="W15" s="706">
        <f t="shared" si="2"/>
        <v>100</v>
      </c>
      <c r="X15" s="1353"/>
      <c r="Y15" s="3729" t="s">
        <v>1688</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8"/>
      <c r="M16" s="2712"/>
      <c r="N16" s="2712"/>
      <c r="O16" s="2712"/>
      <c r="P16" s="3800"/>
      <c r="Q16" s="1350"/>
      <c r="R16" s="705"/>
      <c r="S16" s="706"/>
      <c r="T16" s="705"/>
      <c r="U16" s="706"/>
      <c r="V16" s="705"/>
      <c r="W16" s="706"/>
      <c r="X16" s="1353"/>
      <c r="Y16" s="3730"/>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800"/>
      <c r="Q17" s="1350" t="str">
        <f>B17</f>
        <v>交通便捷度</v>
      </c>
      <c r="R17" s="705" t="s">
        <v>14</v>
      </c>
      <c r="S17" s="706">
        <f>F17</f>
        <v>100</v>
      </c>
      <c r="T17" s="705" t="s">
        <v>14</v>
      </c>
      <c r="U17" s="706">
        <f>H17</f>
        <v>100</v>
      </c>
      <c r="V17" s="705" t="s">
        <v>14</v>
      </c>
      <c r="W17" s="706">
        <f>J17</f>
        <v>100</v>
      </c>
      <c r="X17" s="1353"/>
      <c r="Y17" s="3730"/>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2718"/>
      <c r="M18" s="2712"/>
      <c r="N18" s="2712"/>
      <c r="O18" s="2712"/>
      <c r="P18" s="3800"/>
      <c r="Q18" s="1350"/>
      <c r="R18" s="705"/>
      <c r="S18" s="706"/>
      <c r="T18" s="705"/>
      <c r="U18" s="706"/>
      <c r="V18" s="705"/>
      <c r="W18" s="706"/>
      <c r="X18" s="1353"/>
      <c r="Y18" s="3730"/>
      <c r="Z18" s="1354"/>
      <c r="AA18" s="1351">
        <v>1</v>
      </c>
      <c r="AB18" s="1351">
        <v>1</v>
      </c>
      <c r="AC18" s="1351">
        <v>1</v>
      </c>
    </row>
    <row r="19" spans="1:29" ht="42.75">
      <c r="A19" s="379"/>
      <c r="B19" s="402" t="s">
        <v>1775</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800"/>
      <c r="Q19" s="1350" t="str">
        <f>B19</f>
        <v>公共配套设施</v>
      </c>
      <c r="R19" s="705" t="s">
        <v>14</v>
      </c>
      <c r="S19" s="706">
        <f>F19</f>
        <v>100</v>
      </c>
      <c r="T19" s="705" t="s">
        <v>14</v>
      </c>
      <c r="U19" s="706">
        <f>H19</f>
        <v>100</v>
      </c>
      <c r="V19" s="705" t="s">
        <v>14</v>
      </c>
      <c r="W19" s="706">
        <f>J19</f>
        <v>100</v>
      </c>
      <c r="X19" s="1353"/>
      <c r="Y19" s="3730"/>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2718"/>
      <c r="M20" s="2712"/>
      <c r="N20" s="2712"/>
      <c r="O20" s="2712"/>
      <c r="P20" s="3800"/>
      <c r="Q20" s="1350"/>
      <c r="R20" s="705"/>
      <c r="S20" s="706"/>
      <c r="T20" s="705"/>
      <c r="U20" s="706"/>
      <c r="V20" s="705"/>
      <c r="W20" s="706"/>
      <c r="X20" s="1353"/>
      <c r="Y20" s="3730"/>
      <c r="Z20" s="1354"/>
      <c r="AA20" s="1351">
        <v>1</v>
      </c>
      <c r="AB20" s="1351">
        <v>1</v>
      </c>
      <c r="AC20" s="1351">
        <v>1</v>
      </c>
    </row>
    <row r="21" spans="1:29" ht="28.5">
      <c r="A21" s="379"/>
      <c r="B21" s="1131" t="s">
        <v>1776</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800"/>
      <c r="Q21" s="1350" t="str">
        <f>B21</f>
        <v>基础设施水平</v>
      </c>
      <c r="R21" s="705" t="s">
        <v>14</v>
      </c>
      <c r="S21" s="706">
        <f>F21</f>
        <v>100</v>
      </c>
      <c r="T21" s="705" t="s">
        <v>14</v>
      </c>
      <c r="U21" s="706">
        <f>H21</f>
        <v>100</v>
      </c>
      <c r="V21" s="705" t="s">
        <v>14</v>
      </c>
      <c r="W21" s="706">
        <f>J21</f>
        <v>100</v>
      </c>
      <c r="X21" s="1353"/>
      <c r="Y21" s="3730"/>
      <c r="Z21" s="1354" t="str">
        <f>Q21</f>
        <v>基础设施水平</v>
      </c>
      <c r="AA21" s="1351">
        <f t="shared" ref="AA21" si="8">D21/F21</f>
        <v>1</v>
      </c>
      <c r="AB21" s="1351">
        <f t="shared" ref="AB21" si="9">D21/H21</f>
        <v>1</v>
      </c>
      <c r="AC21" s="1351">
        <f t="shared" ref="AC21" si="10">D21/J21</f>
        <v>1</v>
      </c>
    </row>
    <row r="22" spans="1:29" ht="15">
      <c r="A22" s="379"/>
      <c r="B22" s="1131"/>
      <c r="C22" s="1898"/>
      <c r="D22" s="399"/>
      <c r="E22" s="398"/>
      <c r="F22" s="400"/>
      <c r="G22" s="398"/>
      <c r="H22" s="399"/>
      <c r="I22" s="398"/>
      <c r="J22" s="399"/>
      <c r="K22" s="1130"/>
      <c r="L22" s="2718"/>
      <c r="M22" s="2712"/>
      <c r="N22" s="2712"/>
      <c r="O22" s="2712"/>
      <c r="P22" s="3800"/>
      <c r="Q22" s="1350"/>
      <c r="R22" s="705"/>
      <c r="S22" s="706"/>
      <c r="T22" s="705"/>
      <c r="U22" s="706"/>
      <c r="V22" s="705"/>
      <c r="W22" s="706"/>
      <c r="X22" s="1353"/>
      <c r="Y22" s="3730"/>
      <c r="Z22" s="1354"/>
      <c r="AA22" s="1351">
        <v>1</v>
      </c>
      <c r="AB22" s="1351">
        <v>1</v>
      </c>
      <c r="AC22" s="1351">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800"/>
      <c r="Q23" s="1350" t="str">
        <f>B23</f>
        <v>自然及人文环境</v>
      </c>
      <c r="R23" s="705" t="s">
        <v>14</v>
      </c>
      <c r="S23" s="706">
        <f>F23</f>
        <v>100</v>
      </c>
      <c r="T23" s="705" t="s">
        <v>14</v>
      </c>
      <c r="U23" s="706">
        <f>H23</f>
        <v>100</v>
      </c>
      <c r="V23" s="705" t="s">
        <v>14</v>
      </c>
      <c r="W23" s="706">
        <f>J23</f>
        <v>100</v>
      </c>
      <c r="X23" s="1353"/>
      <c r="Y23" s="3730"/>
      <c r="Z23" s="1354" t="str">
        <f>Q23</f>
        <v>自然及人文环境</v>
      </c>
      <c r="AA23" s="1351">
        <f t="shared" si="3"/>
        <v>1</v>
      </c>
      <c r="AB23" s="1351">
        <f t="shared" si="4"/>
        <v>1</v>
      </c>
      <c r="AC23" s="1351">
        <f t="shared" si="5"/>
        <v>1</v>
      </c>
    </row>
    <row r="24" spans="1:29" ht="15">
      <c r="A24" s="379"/>
      <c r="B24" s="407"/>
      <c r="C24" s="398"/>
      <c r="D24" s="399"/>
      <c r="E24" s="1895"/>
      <c r="F24" s="400"/>
      <c r="G24" s="1894"/>
      <c r="H24" s="399"/>
      <c r="I24" s="1895"/>
      <c r="J24" s="399"/>
      <c r="K24" s="564"/>
      <c r="L24" s="2718"/>
      <c r="M24" s="2712"/>
      <c r="N24" s="2712"/>
      <c r="O24" s="2712"/>
      <c r="P24" s="3800"/>
      <c r="Q24" s="1350"/>
      <c r="R24" s="705"/>
      <c r="S24" s="706"/>
      <c r="T24" s="705"/>
      <c r="U24" s="706"/>
      <c r="V24" s="705"/>
      <c r="W24" s="706"/>
      <c r="X24" s="1353"/>
      <c r="Y24" s="3730"/>
      <c r="Z24" s="1354"/>
      <c r="AA24" s="1351">
        <v>1</v>
      </c>
      <c r="AB24" s="1351">
        <v>1</v>
      </c>
      <c r="AC24" s="1351">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800"/>
      <c r="Q25" s="1350" t="str">
        <f t="shared" ref="Q25:Q46" si="11">B25</f>
        <v>临街状况</v>
      </c>
      <c r="R25" s="705" t="s">
        <v>14</v>
      </c>
      <c r="S25" s="706">
        <f>F25</f>
        <v>100</v>
      </c>
      <c r="T25" s="705" t="s">
        <v>14</v>
      </c>
      <c r="U25" s="706">
        <f>H25</f>
        <v>100</v>
      </c>
      <c r="V25" s="705" t="s">
        <v>14</v>
      </c>
      <c r="W25" s="706">
        <f>J25</f>
        <v>100</v>
      </c>
      <c r="X25" s="1353"/>
      <c r="Y25" s="3730"/>
      <c r="Z25" s="1354" t="str">
        <f>Q25</f>
        <v>临街状况</v>
      </c>
      <c r="AA25" s="1351">
        <f t="shared" si="3"/>
        <v>1</v>
      </c>
      <c r="AB25" s="1351">
        <f t="shared" si="4"/>
        <v>1</v>
      </c>
      <c r="AC25" s="1351">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800"/>
      <c r="Q26" s="1350" t="str">
        <f t="shared" si="11"/>
        <v>平面位置/可视性</v>
      </c>
      <c r="R26" s="705" t="s">
        <v>14</v>
      </c>
      <c r="S26" s="706">
        <f>F26</f>
        <v>100</v>
      </c>
      <c r="T26" s="705" t="s">
        <v>14</v>
      </c>
      <c r="U26" s="706">
        <f>H26</f>
        <v>100</v>
      </c>
      <c r="V26" s="705" t="s">
        <v>14</v>
      </c>
      <c r="W26" s="706">
        <f>J26</f>
        <v>100</v>
      </c>
      <c r="X26" s="1353"/>
      <c r="Y26" s="3730"/>
      <c r="Z26" s="1354" t="str">
        <f>Q26</f>
        <v>平面位置/可视性</v>
      </c>
      <c r="AA26" s="1351">
        <f t="shared" si="3"/>
        <v>1</v>
      </c>
      <c r="AB26" s="1351">
        <f t="shared" si="4"/>
        <v>1</v>
      </c>
      <c r="AC26" s="1351">
        <f t="shared" si="5"/>
        <v>1</v>
      </c>
    </row>
    <row r="27" spans="1:29" s="108" customFormat="1" ht="15">
      <c r="A27" s="382"/>
      <c r="B27" s="402" t="s">
        <v>1779</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800"/>
      <c r="Q27" s="1341" t="str">
        <f t="shared" si="11"/>
        <v>人流量</v>
      </c>
      <c r="R27" s="701" t="s">
        <v>14</v>
      </c>
      <c r="S27" s="702">
        <f>F27</f>
        <v>100</v>
      </c>
      <c r="T27" s="701" t="s">
        <v>14</v>
      </c>
      <c r="U27" s="702">
        <f>H27</f>
        <v>100</v>
      </c>
      <c r="V27" s="701" t="s">
        <v>14</v>
      </c>
      <c r="W27" s="702">
        <f>J27</f>
        <v>100</v>
      </c>
      <c r="X27" s="703"/>
      <c r="Y27" s="3730"/>
      <c r="Z27" s="52" t="str">
        <f>Q27</f>
        <v>人流量</v>
      </c>
      <c r="AA27" s="1351">
        <f>D27/F27</f>
        <v>1</v>
      </c>
      <c r="AB27" s="1351">
        <f>D27/H27</f>
        <v>1</v>
      </c>
      <c r="AC27" s="1351">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800"/>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30"/>
      <c r="Z28" s="1354" t="str">
        <f t="shared" ref="Z28:Z46" si="15">Q28</f>
        <v>楼层</v>
      </c>
      <c r="AA28" s="1351">
        <f t="shared" si="3"/>
        <v>1</v>
      </c>
      <c r="AB28" s="1351">
        <f t="shared" si="4"/>
        <v>1</v>
      </c>
      <c r="AC28" s="1351">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00"/>
      <c r="Q29" s="1350">
        <f t="shared" si="11"/>
        <v>111</v>
      </c>
      <c r="R29" s="705" t="s">
        <v>14</v>
      </c>
      <c r="S29" s="706">
        <f t="shared" si="12"/>
        <v>100</v>
      </c>
      <c r="T29" s="705" t="s">
        <v>14</v>
      </c>
      <c r="U29" s="706">
        <f t="shared" si="13"/>
        <v>100</v>
      </c>
      <c r="V29" s="705" t="s">
        <v>14</v>
      </c>
      <c r="W29" s="706">
        <f t="shared" si="14"/>
        <v>100</v>
      </c>
      <c r="X29" s="1353"/>
      <c r="Y29" s="3730"/>
      <c r="Z29" s="1354">
        <f t="shared" si="15"/>
        <v>111</v>
      </c>
      <c r="AA29" s="1351">
        <f t="shared" si="3"/>
        <v>1</v>
      </c>
      <c r="AB29" s="1351">
        <f t="shared" si="4"/>
        <v>1</v>
      </c>
      <c r="AC29" s="1351">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00"/>
      <c r="Q30" s="1350">
        <f t="shared" si="11"/>
        <v>111</v>
      </c>
      <c r="R30" s="705" t="s">
        <v>14</v>
      </c>
      <c r="S30" s="706">
        <f t="shared" si="12"/>
        <v>100</v>
      </c>
      <c r="T30" s="705" t="s">
        <v>14</v>
      </c>
      <c r="U30" s="706">
        <f t="shared" si="13"/>
        <v>100</v>
      </c>
      <c r="V30" s="705" t="s">
        <v>14</v>
      </c>
      <c r="W30" s="706">
        <f t="shared" si="14"/>
        <v>100</v>
      </c>
      <c r="X30" s="1353"/>
      <c r="Y30" s="3730"/>
      <c r="Z30" s="1354">
        <f t="shared" si="15"/>
        <v>111</v>
      </c>
      <c r="AA30" s="1351">
        <f t="shared" si="3"/>
        <v>1</v>
      </c>
      <c r="AB30" s="1351">
        <f t="shared" si="4"/>
        <v>1</v>
      </c>
      <c r="AC30" s="1351">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00"/>
      <c r="Q31" s="1350">
        <f t="shared" si="11"/>
        <v>111</v>
      </c>
      <c r="R31" s="705" t="s">
        <v>14</v>
      </c>
      <c r="S31" s="706">
        <f t="shared" si="12"/>
        <v>100</v>
      </c>
      <c r="T31" s="705" t="s">
        <v>14</v>
      </c>
      <c r="U31" s="706">
        <f t="shared" si="13"/>
        <v>100</v>
      </c>
      <c r="V31" s="705" t="s">
        <v>14</v>
      </c>
      <c r="W31" s="706">
        <f t="shared" si="14"/>
        <v>100</v>
      </c>
      <c r="X31" s="1353"/>
      <c r="Y31" s="3730"/>
      <c r="Z31" s="1354">
        <f t="shared" si="15"/>
        <v>111</v>
      </c>
      <c r="AA31" s="1351">
        <f t="shared" si="3"/>
        <v>1</v>
      </c>
      <c r="AB31" s="1351">
        <f t="shared" si="4"/>
        <v>1</v>
      </c>
      <c r="AC31" s="1351">
        <f t="shared" si="5"/>
        <v>1</v>
      </c>
    </row>
    <row r="32" spans="1:29" ht="15">
      <c r="A32" s="391" t="s">
        <v>1691</v>
      </c>
      <c r="B32" s="63" t="s">
        <v>1781</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8"/>
      <c r="M32" s="2712"/>
      <c r="N32" s="2712"/>
      <c r="O32" s="2712"/>
      <c r="P32" s="3795" t="s">
        <v>1693</v>
      </c>
      <c r="Q32" s="1350" t="str">
        <f t="shared" si="11"/>
        <v>商业类型</v>
      </c>
      <c r="R32" s="705" t="s">
        <v>14</v>
      </c>
      <c r="S32" s="706">
        <f t="shared" si="12"/>
        <v>100</v>
      </c>
      <c r="T32" s="705" t="s">
        <v>14</v>
      </c>
      <c r="U32" s="706">
        <f t="shared" si="13"/>
        <v>100</v>
      </c>
      <c r="V32" s="705" t="s">
        <v>14</v>
      </c>
      <c r="W32" s="706">
        <f t="shared" si="14"/>
        <v>100</v>
      </c>
      <c r="X32" s="1353"/>
      <c r="Y32" s="3732" t="s">
        <v>1693</v>
      </c>
      <c r="Z32" s="1354" t="str">
        <f t="shared" si="15"/>
        <v>商业类型</v>
      </c>
      <c r="AA32" s="1351">
        <f t="shared" si="3"/>
        <v>1</v>
      </c>
      <c r="AB32" s="1351">
        <f t="shared" si="4"/>
        <v>1</v>
      </c>
      <c r="AC32" s="1351">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96"/>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1" t="e">
        <f t="shared" si="3"/>
        <v>#N/A</v>
      </c>
      <c r="AB33" s="1351" t="e">
        <f t="shared" si="4"/>
        <v>#N/A</v>
      </c>
      <c r="AC33" s="1351" t="e">
        <f t="shared" si="5"/>
        <v>#N/A</v>
      </c>
    </row>
    <row r="34" spans="1:29" ht="15">
      <c r="A34" s="423"/>
      <c r="B34" s="375" t="s">
        <v>1695</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96"/>
      <c r="Q34" s="1350" t="str">
        <f t="shared" si="11"/>
        <v>建筑结构</v>
      </c>
      <c r="R34" s="705" t="s">
        <v>14</v>
      </c>
      <c r="S34" s="706">
        <f t="shared" si="12"/>
        <v>100</v>
      </c>
      <c r="T34" s="705" t="s">
        <v>14</v>
      </c>
      <c r="U34" s="706">
        <f t="shared" si="13"/>
        <v>100</v>
      </c>
      <c r="V34" s="705" t="s">
        <v>14</v>
      </c>
      <c r="W34" s="706">
        <f t="shared" si="14"/>
        <v>100</v>
      </c>
      <c r="X34" s="1353"/>
      <c r="Y34" s="3732"/>
      <c r="Z34" s="1354" t="str">
        <f t="shared" si="15"/>
        <v>建筑结构</v>
      </c>
      <c r="AA34" s="1351">
        <f t="shared" si="3"/>
        <v>1</v>
      </c>
      <c r="AB34" s="1351">
        <f t="shared" si="4"/>
        <v>1</v>
      </c>
      <c r="AC34" s="1351">
        <f t="shared" si="5"/>
        <v>1</v>
      </c>
    </row>
    <row r="35" spans="1:29" ht="15">
      <c r="A35" s="423"/>
      <c r="B35" s="375" t="s">
        <v>1782</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8"/>
      <c r="M35" s="2712"/>
      <c r="N35" s="2712"/>
      <c r="O35" s="2712"/>
      <c r="P35" s="3796"/>
      <c r="Q35" s="1350" t="str">
        <f t="shared" si="11"/>
        <v>公共部分装修</v>
      </c>
      <c r="R35" s="705" t="s">
        <v>14</v>
      </c>
      <c r="S35" s="706">
        <f t="shared" si="12"/>
        <v>100</v>
      </c>
      <c r="T35" s="705" t="s">
        <v>14</v>
      </c>
      <c r="U35" s="706">
        <f t="shared" si="13"/>
        <v>100</v>
      </c>
      <c r="V35" s="705" t="s">
        <v>14</v>
      </c>
      <c r="W35" s="706">
        <f t="shared" si="14"/>
        <v>100</v>
      </c>
      <c r="X35" s="1353"/>
      <c r="Y35" s="3732"/>
      <c r="Z35" s="1354" t="str">
        <f t="shared" si="15"/>
        <v>公共部分装修</v>
      </c>
      <c r="AA35" s="1351">
        <f t="shared" si="3"/>
        <v>1</v>
      </c>
      <c r="AB35" s="1351">
        <f t="shared" si="4"/>
        <v>1</v>
      </c>
      <c r="AC35" s="1351">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96"/>
      <c r="Q36" s="1350" t="str">
        <f t="shared" si="11"/>
        <v>成新度</v>
      </c>
      <c r="R36" s="705" t="s">
        <v>14</v>
      </c>
      <c r="S36" s="706" t="e">
        <f t="shared" si="12"/>
        <v>#N/A</v>
      </c>
      <c r="T36" s="705" t="s">
        <v>14</v>
      </c>
      <c r="U36" s="706" t="e">
        <f t="shared" si="13"/>
        <v>#N/A</v>
      </c>
      <c r="V36" s="705" t="s">
        <v>14</v>
      </c>
      <c r="W36" s="706" t="e">
        <f t="shared" si="14"/>
        <v>#N/A</v>
      </c>
      <c r="X36" s="1353"/>
      <c r="Y36" s="3732"/>
      <c r="Z36" s="1354" t="str">
        <f t="shared" si="15"/>
        <v>成新度</v>
      </c>
      <c r="AA36" s="1351" t="e">
        <f t="shared" si="3"/>
        <v>#N/A</v>
      </c>
      <c r="AB36" s="1351" t="e">
        <f t="shared" si="4"/>
        <v>#N/A</v>
      </c>
      <c r="AC36" s="1351" t="e">
        <f t="shared" si="5"/>
        <v>#N/A</v>
      </c>
    </row>
    <row r="37" spans="1:29" s="108" customFormat="1" ht="15">
      <c r="A37" s="424"/>
      <c r="B37" s="375" t="s">
        <v>1784</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796"/>
      <c r="Q37" s="1341"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1785</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8"/>
      <c r="M38" s="2712"/>
      <c r="N38" s="2712"/>
      <c r="O38" s="2712"/>
      <c r="P38" s="3796" t="s">
        <v>1693</v>
      </c>
      <c r="Q38" s="1350" t="str">
        <f t="shared" si="11"/>
        <v>业态</v>
      </c>
      <c r="R38" s="705" t="s">
        <v>14</v>
      </c>
      <c r="S38" s="706">
        <f t="shared" si="12"/>
        <v>100</v>
      </c>
      <c r="T38" s="705" t="s">
        <v>14</v>
      </c>
      <c r="U38" s="706">
        <f t="shared" si="13"/>
        <v>100</v>
      </c>
      <c r="V38" s="705" t="s">
        <v>14</v>
      </c>
      <c r="W38" s="706">
        <f t="shared" si="14"/>
        <v>100</v>
      </c>
      <c r="X38" s="1353"/>
      <c r="Y38" s="3732" t="s">
        <v>1693</v>
      </c>
      <c r="Z38" s="1354" t="str">
        <f t="shared" si="15"/>
        <v>业态</v>
      </c>
      <c r="AA38" s="1351">
        <f t="shared" si="3"/>
        <v>1</v>
      </c>
      <c r="AB38" s="1351">
        <f t="shared" si="4"/>
        <v>1</v>
      </c>
      <c r="AC38" s="1351">
        <f t="shared" si="5"/>
        <v>1</v>
      </c>
    </row>
    <row r="39" spans="1:29" ht="15">
      <c r="A39" s="423"/>
      <c r="B39" s="375" t="s">
        <v>1786</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8"/>
      <c r="M39" s="2712"/>
      <c r="N39" s="2712"/>
      <c r="O39" s="2712"/>
      <c r="P39" s="3796"/>
      <c r="Q39" s="1350" t="str">
        <f t="shared" si="11"/>
        <v>层高</v>
      </c>
      <c r="R39" s="705" t="s">
        <v>14</v>
      </c>
      <c r="S39" s="706">
        <f t="shared" si="12"/>
        <v>100</v>
      </c>
      <c r="T39" s="705" t="s">
        <v>14</v>
      </c>
      <c r="U39" s="706">
        <f t="shared" si="13"/>
        <v>100</v>
      </c>
      <c r="V39" s="705" t="s">
        <v>14</v>
      </c>
      <c r="W39" s="706">
        <f t="shared" si="14"/>
        <v>100</v>
      </c>
      <c r="X39" s="1353"/>
      <c r="Y39" s="3732"/>
      <c r="Z39" s="1354" t="str">
        <f t="shared" si="15"/>
        <v>层高</v>
      </c>
      <c r="AA39" s="1351">
        <f t="shared" si="3"/>
        <v>1</v>
      </c>
      <c r="AB39" s="1351">
        <f t="shared" si="4"/>
        <v>1</v>
      </c>
      <c r="AC39" s="1351">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96"/>
      <c r="Q40" s="1350" t="str">
        <f t="shared" si="11"/>
        <v>单套建筑面积</v>
      </c>
      <c r="R40" s="705" t="s">
        <v>14</v>
      </c>
      <c r="S40" s="706">
        <f t="shared" si="12"/>
        <v>100</v>
      </c>
      <c r="T40" s="705" t="s">
        <v>14</v>
      </c>
      <c r="U40" s="706">
        <f t="shared" si="13"/>
        <v>100</v>
      </c>
      <c r="V40" s="705" t="s">
        <v>14</v>
      </c>
      <c r="W40" s="706">
        <f t="shared" si="14"/>
        <v>100</v>
      </c>
      <c r="X40" s="1353"/>
      <c r="Y40" s="3732"/>
      <c r="Z40" s="1354" t="str">
        <f t="shared" si="15"/>
        <v>单套建筑面积</v>
      </c>
      <c r="AA40" s="1351">
        <f t="shared" si="3"/>
        <v>1</v>
      </c>
      <c r="AB40" s="1351">
        <f t="shared" si="4"/>
        <v>1</v>
      </c>
      <c r="AC40" s="1351">
        <f t="shared" si="5"/>
        <v>1</v>
      </c>
    </row>
    <row r="41" spans="1:29" s="422" customFormat="1" ht="15">
      <c r="A41" s="419"/>
      <c r="B41" s="1352"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96"/>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1">
        <f t="shared" si="3"/>
        <v>1</v>
      </c>
      <c r="AB41" s="1351">
        <f t="shared" si="4"/>
        <v>1</v>
      </c>
      <c r="AC41" s="1351">
        <f t="shared" si="5"/>
        <v>1</v>
      </c>
    </row>
    <row r="42" spans="1:29" ht="15">
      <c r="A42" s="423"/>
      <c r="B42" s="375" t="s">
        <v>1789</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8"/>
      <c r="M42" s="2712"/>
      <c r="N42" s="2712"/>
      <c r="O42" s="2712"/>
      <c r="P42" s="3796"/>
      <c r="Q42" s="1350" t="str">
        <f t="shared" si="11"/>
        <v>内部装修</v>
      </c>
      <c r="R42" s="705" t="s">
        <v>14</v>
      </c>
      <c r="S42" s="706">
        <f t="shared" si="12"/>
        <v>100</v>
      </c>
      <c r="T42" s="705" t="s">
        <v>14</v>
      </c>
      <c r="U42" s="706">
        <f t="shared" si="13"/>
        <v>100</v>
      </c>
      <c r="V42" s="705" t="s">
        <v>14</v>
      </c>
      <c r="W42" s="706">
        <f t="shared" si="14"/>
        <v>100</v>
      </c>
      <c r="X42" s="1353"/>
      <c r="Y42" s="3732"/>
      <c r="Z42" s="1354" t="str">
        <f t="shared" si="15"/>
        <v>内部装修</v>
      </c>
      <c r="AA42" s="1351">
        <f t="shared" si="3"/>
        <v>1</v>
      </c>
      <c r="AB42" s="1351">
        <f t="shared" si="4"/>
        <v>1</v>
      </c>
      <c r="AC42" s="1351">
        <f t="shared" si="5"/>
        <v>1</v>
      </c>
    </row>
    <row r="43" spans="1:29" ht="15">
      <c r="A43" s="423"/>
      <c r="B43" s="375" t="s">
        <v>1704</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8"/>
      <c r="M43" s="2712"/>
      <c r="N43" s="2712"/>
      <c r="O43" s="2712"/>
      <c r="P43" s="3796"/>
      <c r="Q43" s="1350" t="str">
        <f t="shared" si="11"/>
        <v>内部装修维护情况</v>
      </c>
      <c r="R43" s="705" t="s">
        <v>14</v>
      </c>
      <c r="S43" s="706">
        <f t="shared" si="12"/>
        <v>100</v>
      </c>
      <c r="T43" s="705" t="s">
        <v>14</v>
      </c>
      <c r="U43" s="706">
        <f t="shared" si="13"/>
        <v>100</v>
      </c>
      <c r="V43" s="705" t="s">
        <v>14</v>
      </c>
      <c r="W43" s="706">
        <f t="shared" si="14"/>
        <v>100</v>
      </c>
      <c r="X43" s="1353"/>
      <c r="Y43" s="3732"/>
      <c r="Z43" s="1354" t="str">
        <f t="shared" si="15"/>
        <v>内部装修维护情况</v>
      </c>
      <c r="AA43" s="1351">
        <f t="shared" si="3"/>
        <v>1</v>
      </c>
      <c r="AB43" s="1351">
        <f t="shared" si="4"/>
        <v>1</v>
      </c>
      <c r="AC43" s="1351">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96"/>
      <c r="Q44" s="1341">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96"/>
      <c r="Q45" s="1350">
        <f t="shared" si="11"/>
        <v>111</v>
      </c>
      <c r="R45" s="705" t="s">
        <v>14</v>
      </c>
      <c r="S45" s="706">
        <f t="shared" si="12"/>
        <v>100</v>
      </c>
      <c r="T45" s="705" t="s">
        <v>14</v>
      </c>
      <c r="U45" s="706">
        <f t="shared" si="13"/>
        <v>100</v>
      </c>
      <c r="V45" s="705" t="s">
        <v>14</v>
      </c>
      <c r="W45" s="706">
        <f t="shared" si="14"/>
        <v>100</v>
      </c>
      <c r="X45" s="1353"/>
      <c r="Y45" s="3732"/>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97"/>
      <c r="Q46" s="1350">
        <f t="shared" si="11"/>
        <v>111</v>
      </c>
      <c r="R46" s="705" t="s">
        <v>14</v>
      </c>
      <c r="S46" s="706">
        <f t="shared" si="12"/>
        <v>100</v>
      </c>
      <c r="T46" s="705" t="s">
        <v>14</v>
      </c>
      <c r="U46" s="706">
        <f t="shared" si="13"/>
        <v>100</v>
      </c>
      <c r="V46" s="705" t="s">
        <v>14</v>
      </c>
      <c r="W46" s="706">
        <f t="shared" si="14"/>
        <v>100</v>
      </c>
      <c r="X46" s="1353"/>
      <c r="Y46" s="3798"/>
      <c r="Z46" s="1354">
        <f t="shared" si="15"/>
        <v>111</v>
      </c>
      <c r="AA46" s="1351">
        <f t="shared" si="3"/>
        <v>1</v>
      </c>
      <c r="AB46" s="1351">
        <f t="shared" si="4"/>
        <v>1</v>
      </c>
      <c r="AC46" s="1351">
        <f t="shared" si="5"/>
        <v>1</v>
      </c>
    </row>
    <row r="47" spans="1:29" ht="15">
      <c r="A47" s="430" t="s">
        <v>1705</v>
      </c>
      <c r="B47" s="431"/>
      <c r="C47" s="1154" t="s">
        <v>0</v>
      </c>
      <c r="D47" s="1155"/>
      <c r="E47" s="1156"/>
      <c r="F47" s="1157"/>
      <c r="G47" s="1158"/>
      <c r="H47" s="1159"/>
      <c r="I47" s="1156"/>
      <c r="J47" s="1159"/>
      <c r="K47" s="714"/>
      <c r="L47" s="2720"/>
      <c r="M47" s="2721"/>
      <c r="N47" s="2712"/>
      <c r="O47" s="2721"/>
      <c r="P47" s="3728" t="str">
        <f>A47</f>
        <v>成交单价（元/平方米）</v>
      </c>
      <c r="Q47" s="3728"/>
      <c r="R47" s="3733">
        <f>E47</f>
        <v>0</v>
      </c>
      <c r="S47" s="3733"/>
      <c r="T47" s="3733">
        <f>G47</f>
        <v>0</v>
      </c>
      <c r="U47" s="3733"/>
      <c r="V47" s="3733">
        <f>I47</f>
        <v>0</v>
      </c>
      <c r="W47" s="3733"/>
      <c r="X47" s="690"/>
      <c r="Y47" s="712"/>
      <c r="Z47" s="690"/>
      <c r="AA47" s="690"/>
      <c r="AB47" s="690"/>
      <c r="AC47" s="690"/>
    </row>
    <row r="48" spans="1:29" ht="15.75" thickBot="1">
      <c r="A48" s="437" t="s">
        <v>1790</v>
      </c>
      <c r="B48" s="438"/>
      <c r="C48" s="1160" t="e">
        <f>R49</f>
        <v>#DIV/0!</v>
      </c>
      <c r="D48" s="2314" t="s">
        <v>2134</v>
      </c>
      <c r="E48" s="1161" t="e">
        <f>R48</f>
        <v>#DIV/0!</v>
      </c>
      <c r="F48" s="2315"/>
      <c r="G48" s="1160" t="e">
        <f>T48</f>
        <v>#DIV/0!</v>
      </c>
      <c r="H48" s="2315"/>
      <c r="I48" s="1161" t="e">
        <f>V48</f>
        <v>#DIV/0!</v>
      </c>
      <c r="J48" s="2315"/>
      <c r="K48" s="2317">
        <f>F48+H48+J48</f>
        <v>0</v>
      </c>
      <c r="L48" s="2720"/>
      <c r="M48" s="2721"/>
      <c r="N48" s="2712"/>
      <c r="O48" s="2721"/>
      <c r="P48" s="3728" t="str">
        <f>A48</f>
        <v>比较价值（元/平方米）</v>
      </c>
      <c r="Q48" s="3728"/>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0"/>
      <c r="M49" s="2721"/>
      <c r="N49" s="2712"/>
      <c r="O49" s="2721"/>
      <c r="P49" s="3722" t="str">
        <f>A49</f>
        <v>估价对象XX用房的比较价值（楼面单价，元/平方米）</v>
      </c>
      <c r="Q49" s="3723"/>
      <c r="R49" s="3793" t="e">
        <f>IF(F1="售价",ROUND(IF(D48="简单平均",AVERAGE(R48:V48),R48*F48+T48*H48+V48*J48),0),ROUND(IF(D48="简单平均",AVERAGE(R48:V48),R48*F48+T48*H48+V48*J48),1))</f>
        <v>#DIV/0!</v>
      </c>
      <c r="S49" s="3793"/>
      <c r="T49" s="3793"/>
      <c r="U49" s="3793"/>
      <c r="V49" s="3793"/>
      <c r="W49" s="379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1795</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1676</v>
      </c>
      <c r="B58" s="455"/>
      <c r="C58" s="1183" t="str">
        <f>YEAR(C7)&amp;"-"&amp;MONTH(C7)</f>
        <v>2024-9</v>
      </c>
      <c r="D58" s="1184">
        <f>EDATE(C58,-1)</f>
        <v>45505</v>
      </c>
      <c r="E58" s="1184">
        <f t="shared" ref="E58:N58" si="16">EDATE(D58,-1)</f>
        <v>45474</v>
      </c>
      <c r="F58" s="1184">
        <f t="shared" si="16"/>
        <v>45444</v>
      </c>
      <c r="G58" s="1184">
        <f t="shared" si="16"/>
        <v>45413</v>
      </c>
      <c r="H58" s="1184">
        <f t="shared" si="16"/>
        <v>45383</v>
      </c>
      <c r="I58" s="1184">
        <f t="shared" si="16"/>
        <v>45352</v>
      </c>
      <c r="J58" s="1184">
        <f t="shared" si="16"/>
        <v>45323</v>
      </c>
      <c r="K58" s="1184">
        <f t="shared" si="16"/>
        <v>45292</v>
      </c>
      <c r="L58" s="1184">
        <f t="shared" si="16"/>
        <v>45261</v>
      </c>
      <c r="M58" s="1184">
        <f t="shared" si="16"/>
        <v>45231</v>
      </c>
      <c r="N58" s="1184">
        <f t="shared" si="16"/>
        <v>45200</v>
      </c>
      <c r="O58" s="1184">
        <f>EDATE(N58,-1)</f>
        <v>45170</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8" t="s">
        <v>1796</v>
      </c>
      <c r="D82" s="608" t="s">
        <v>1797</v>
      </c>
      <c r="E82" s="608" t="s">
        <v>1798</v>
      </c>
      <c r="F82" s="608" t="s">
        <v>1799</v>
      </c>
      <c r="G82" s="608" t="s">
        <v>1800</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30" sqref="C3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4" t="s">
        <v>1823</v>
      </c>
      <c r="C1" s="1223" t="s">
        <v>1659</v>
      </c>
      <c r="D1" s="1224" t="s">
        <v>3392</v>
      </c>
      <c r="E1" s="3429" t="s">
        <v>3747</v>
      </c>
      <c r="F1" s="1876" t="s">
        <v>3748</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IF(E1="项目模式",IF(C2="——",ROUND(C43*D3/10000,0),ROUND(C43*D3/10000,0)-D2),IF(E1="单套模式",IF(C2="——",ROUND(C43*D3/10000,4),ROUND(C43*D3/10000,4)-D2)))</f>
        <v>16</v>
      </c>
      <c r="C2" s="1878" t="s">
        <v>43</v>
      </c>
      <c r="D2" s="907" t="e">
        <f ca="1">IF(E1="项目模式",SUMIF(INDIRECT("'"&amp;F2&amp;"'"&amp;"!A:A"),"承租人权益价值",INDIRECT("'"&amp;F2&amp;"'"&amp;"!c:c")),SUMIF(INDIRECT("'"&amp;F2&amp;"'"&amp;"!A:A"),"承租人权益价值（单套）",INDIRECT("'"&amp;F2&amp;"'"&amp;"!c:c")))</f>
        <v>#REF!</v>
      </c>
      <c r="E2" s="1879" t="s">
        <v>1460</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0.6</v>
      </c>
      <c r="C3" s="354" t="s">
        <v>1765</v>
      </c>
      <c r="D3" s="353">
        <f>IF(D1="",'数据-汇总表'!E3,SUMIF('数据-汇总表'!$C19:$C33,D1,'数据-汇总表'!$E19:$E33))</f>
        <v>270951.53999999998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25" t="s">
        <v>1767</v>
      </c>
      <c r="D4" s="3737"/>
      <c r="E4" s="3738" t="s">
        <v>1768</v>
      </c>
      <c r="F4" s="3739"/>
      <c r="G4" s="3725" t="s">
        <v>1769</v>
      </c>
      <c r="H4" s="3737"/>
      <c r="I4" s="3725" t="s">
        <v>1770</v>
      </c>
      <c r="J4" s="3737"/>
      <c r="K4" s="559" t="s">
        <v>1771</v>
      </c>
      <c r="L4" s="913"/>
      <c r="M4" s="914"/>
      <c r="N4" s="914"/>
      <c r="O4" s="914"/>
      <c r="P4" s="3740" t="s">
        <v>1772</v>
      </c>
      <c r="Q4" s="3741"/>
      <c r="R4" s="3746" t="s">
        <v>1768</v>
      </c>
      <c r="S4" s="3747"/>
      <c r="T4" s="3746" t="s">
        <v>1769</v>
      </c>
      <c r="U4" s="3747"/>
      <c r="V4" s="3733" t="s">
        <v>1770</v>
      </c>
      <c r="W4" s="3733"/>
      <c r="X4" s="1353"/>
      <c r="Y4" s="3746" t="s">
        <v>1772</v>
      </c>
      <c r="Z4" s="3747"/>
      <c r="AA4" s="3734" t="s">
        <v>1768</v>
      </c>
      <c r="AB4" s="3735" t="s">
        <v>1769</v>
      </c>
      <c r="AC4" s="3734" t="s">
        <v>1770</v>
      </c>
    </row>
    <row r="5" spans="1:29" ht="15">
      <c r="A5" s="358"/>
      <c r="B5" s="359"/>
      <c r="C5" s="3754" t="s">
        <v>1670</v>
      </c>
      <c r="D5" s="3755"/>
      <c r="E5" s="3803" t="s">
        <v>3797</v>
      </c>
      <c r="F5" s="3762"/>
      <c r="G5" s="3801" t="s">
        <v>3798</v>
      </c>
      <c r="H5" s="3755"/>
      <c r="I5" s="3801" t="s">
        <v>3795</v>
      </c>
      <c r="J5" s="3755"/>
      <c r="K5" s="559"/>
      <c r="L5" s="913"/>
      <c r="M5" s="914"/>
      <c r="N5" s="914"/>
      <c r="O5" s="914"/>
      <c r="P5" s="3742"/>
      <c r="Q5" s="3743"/>
      <c r="R5" s="3748"/>
      <c r="S5" s="3749"/>
      <c r="T5" s="3748"/>
      <c r="U5" s="3749"/>
      <c r="V5" s="3733"/>
      <c r="W5" s="3733"/>
      <c r="X5" s="1353"/>
      <c r="Y5" s="3748"/>
      <c r="Z5" s="3749"/>
      <c r="AA5" s="3735"/>
      <c r="AB5" s="3735"/>
      <c r="AC5" s="3735"/>
    </row>
    <row r="6" spans="1:29" ht="15.75" thickBot="1">
      <c r="A6" s="360"/>
      <c r="B6" s="361"/>
      <c r="C6" s="3752" t="s">
        <v>1674</v>
      </c>
      <c r="D6" s="3753"/>
      <c r="E6" s="3759" t="s">
        <v>1674</v>
      </c>
      <c r="F6" s="3760"/>
      <c r="G6" s="3802" t="s">
        <v>3760</v>
      </c>
      <c r="H6" s="3753"/>
      <c r="I6" s="3752" t="s">
        <v>1674</v>
      </c>
      <c r="J6" s="3753"/>
      <c r="K6" s="559" t="s">
        <v>1675</v>
      </c>
      <c r="L6" s="913"/>
      <c r="M6" s="914"/>
      <c r="N6" s="914"/>
      <c r="O6" s="914"/>
      <c r="P6" s="3744"/>
      <c r="Q6" s="3745"/>
      <c r="R6" s="3748"/>
      <c r="S6" s="3749"/>
      <c r="T6" s="3750"/>
      <c r="U6" s="3751"/>
      <c r="V6" s="3733"/>
      <c r="W6" s="3733"/>
      <c r="X6" s="1353"/>
      <c r="Y6" s="3750"/>
      <c r="Z6" s="3751"/>
      <c r="AA6" s="3736"/>
      <c r="AB6" s="3736"/>
      <c r="AC6" s="3736"/>
    </row>
    <row r="7" spans="1:29" s="108" customFormat="1" ht="15.75" thickBot="1">
      <c r="A7" s="362" t="s">
        <v>1676</v>
      </c>
      <c r="B7" s="363"/>
      <c r="C7" s="364">
        <f>'数据-取费表'!B2</f>
        <v>45540</v>
      </c>
      <c r="D7" s="365">
        <v>100</v>
      </c>
      <c r="E7" s="366">
        <f>C7</f>
        <v>45540</v>
      </c>
      <c r="F7" s="367">
        <f>SUMIF(52:52,YEAR(E7)&amp;"-"&amp;MONTH(E7),53:53)</f>
        <v>100</v>
      </c>
      <c r="G7" s="366">
        <f>C7</f>
        <v>45540</v>
      </c>
      <c r="H7" s="365">
        <f>SUMIF(52:52,YEAR(G7)&amp;"-"&amp;MONTH(G7),53:53)</f>
        <v>100</v>
      </c>
      <c r="I7" s="366">
        <f>C7</f>
        <v>45540</v>
      </c>
      <c r="J7" s="365">
        <f>SUMIF(52:52,YEAR(I7)&amp;"-"&amp;MONTH(I7),53:53)</f>
        <v>100</v>
      </c>
      <c r="K7" s="560"/>
      <c r="L7" s="915"/>
      <c r="M7" s="916"/>
      <c r="N7" s="916"/>
      <c r="O7" s="916"/>
      <c r="P7" s="3756" t="s">
        <v>1677</v>
      </c>
      <c r="Q7" s="3758"/>
      <c r="R7" s="701" t="s">
        <v>14</v>
      </c>
      <c r="S7" s="702">
        <f t="shared" ref="S7:S15" si="0">F7</f>
        <v>100</v>
      </c>
      <c r="T7" s="701" t="s">
        <v>14</v>
      </c>
      <c r="U7" s="702">
        <f t="shared" ref="U7:U15" si="1">H7</f>
        <v>100</v>
      </c>
      <c r="V7" s="701" t="s">
        <v>14</v>
      </c>
      <c r="W7" s="702">
        <f t="shared" ref="W7:W15" si="2">J7</f>
        <v>100</v>
      </c>
      <c r="X7" s="703"/>
      <c r="Y7" s="3756" t="s">
        <v>1677</v>
      </c>
      <c r="Z7" s="3757"/>
      <c r="AA7" s="704">
        <f>D7/F7</f>
        <v>1</v>
      </c>
      <c r="AB7" s="704">
        <f>D7/H7</f>
        <v>1</v>
      </c>
      <c r="AC7" s="704">
        <f>D7/J7</f>
        <v>1</v>
      </c>
    </row>
    <row r="8" spans="1:29" s="108" customFormat="1" ht="15.75" thickBot="1">
      <c r="A8" s="362" t="s">
        <v>1678</v>
      </c>
      <c r="B8" s="363"/>
      <c r="C8" s="368" t="s">
        <v>3750</v>
      </c>
      <c r="D8" s="365">
        <v>100</v>
      </c>
      <c r="E8" s="368" t="s">
        <v>3751</v>
      </c>
      <c r="F8" s="367">
        <f>SUMIF(55:55,E8,56:56)-SUMIF(55:55,C8,56:56)+100</f>
        <v>103</v>
      </c>
      <c r="G8" s="368" t="s">
        <v>3751</v>
      </c>
      <c r="H8" s="365">
        <f>SUMIF(55:55,G8,56:56)-SUMIF(55:55,C8,56:56)+100</f>
        <v>103</v>
      </c>
      <c r="I8" s="368" t="s">
        <v>3751</v>
      </c>
      <c r="J8" s="365">
        <f>SUMIF(55:55,I8,56:56)-SUMIF(55:55,C8,56:56)+100</f>
        <v>103</v>
      </c>
      <c r="K8" s="560"/>
      <c r="L8" s="915"/>
      <c r="M8" s="916"/>
      <c r="N8" s="916"/>
      <c r="O8" s="916"/>
      <c r="P8" s="3756" t="s">
        <v>1680</v>
      </c>
      <c r="Q8" s="3757"/>
      <c r="R8" s="701" t="s">
        <v>14</v>
      </c>
      <c r="S8" s="702">
        <f t="shared" si="0"/>
        <v>103</v>
      </c>
      <c r="T8" s="701" t="s">
        <v>14</v>
      </c>
      <c r="U8" s="702">
        <f t="shared" si="1"/>
        <v>103</v>
      </c>
      <c r="V8" s="701" t="s">
        <v>14</v>
      </c>
      <c r="W8" s="702">
        <f t="shared" si="2"/>
        <v>103</v>
      </c>
      <c r="X8" s="703"/>
      <c r="Y8" s="3756" t="s">
        <v>1680</v>
      </c>
      <c r="Z8" s="3757"/>
      <c r="AA8" s="704">
        <f t="shared" ref="AA8:AA40" si="3">D8/F8</f>
        <v>0.970873786407767</v>
      </c>
      <c r="AB8" s="704">
        <f t="shared" ref="AB8:AB40" si="4">D8/H8</f>
        <v>0.970873786407767</v>
      </c>
      <c r="AC8" s="704">
        <f t="shared" ref="AC8:AC40" si="5">D8/J8</f>
        <v>0.970873786407767</v>
      </c>
    </row>
    <row r="9" spans="1:29" s="108" customFormat="1">
      <c r="A9" s="369" t="s">
        <v>1681</v>
      </c>
      <c r="B9" s="63" t="s">
        <v>1682</v>
      </c>
      <c r="C9" s="3493" t="s">
        <v>3749</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728" t="s">
        <v>1683</v>
      </c>
      <c r="Q9" s="1341"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704">
        <f t="shared" si="5"/>
        <v>1</v>
      </c>
    </row>
    <row r="10" spans="1:29" s="378" customFormat="1" ht="27">
      <c r="A10" s="374"/>
      <c r="B10" s="375" t="s">
        <v>1685</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28"/>
      <c r="Q10" s="1341"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1"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28"/>
      <c r="Q12" s="1341">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28"/>
      <c r="Q13" s="1341">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28"/>
      <c r="Q14" s="1341">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1687</v>
      </c>
      <c r="B15" s="61" t="s">
        <v>1824</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98</v>
      </c>
      <c r="I15" s="393"/>
      <c r="J15" s="392">
        <f>SUMIF(70:70,I16,71:71)-SUMIF(70:70,C16,71:71)+100</f>
        <v>100</v>
      </c>
      <c r="K15" s="563">
        <v>2</v>
      </c>
      <c r="L15" s="923"/>
      <c r="M15" s="914"/>
      <c r="N15" s="914"/>
      <c r="O15" s="922"/>
      <c r="P15" s="3729" t="s">
        <v>1688</v>
      </c>
      <c r="Q15" s="1350" t="str">
        <f t="shared" si="6"/>
        <v>产业集聚程度</v>
      </c>
      <c r="R15" s="705" t="s">
        <v>14</v>
      </c>
      <c r="S15" s="706">
        <f t="shared" si="0"/>
        <v>100</v>
      </c>
      <c r="T15" s="705" t="s">
        <v>14</v>
      </c>
      <c r="U15" s="706">
        <f t="shared" si="1"/>
        <v>98</v>
      </c>
      <c r="V15" s="705" t="s">
        <v>14</v>
      </c>
      <c r="W15" s="706">
        <f t="shared" si="2"/>
        <v>100</v>
      </c>
      <c r="X15" s="1353"/>
      <c r="Y15" s="3729" t="s">
        <v>1688</v>
      </c>
      <c r="Z15" s="1354" t="str">
        <f t="shared" si="7"/>
        <v>产业集聚程度</v>
      </c>
      <c r="AA15" s="1351">
        <f t="shared" si="3"/>
        <v>1</v>
      </c>
      <c r="AB15" s="1351">
        <f t="shared" si="4"/>
        <v>1.0204081632653061</v>
      </c>
      <c r="AC15" s="1351">
        <f t="shared" si="5"/>
        <v>1</v>
      </c>
    </row>
    <row r="16" spans="1:29" ht="15">
      <c r="A16" s="379"/>
      <c r="B16" s="397"/>
      <c r="C16" s="398" t="s">
        <v>3710</v>
      </c>
      <c r="D16" s="399"/>
      <c r="E16" s="398" t="s">
        <v>3710</v>
      </c>
      <c r="F16" s="400"/>
      <c r="G16" s="398" t="s">
        <v>3744</v>
      </c>
      <c r="H16" s="401"/>
      <c r="I16" s="398" t="s">
        <v>3710</v>
      </c>
      <c r="J16" s="399"/>
      <c r="K16" s="564"/>
      <c r="L16" s="923"/>
      <c r="M16" s="914"/>
      <c r="N16" s="914"/>
      <c r="O16" s="922"/>
      <c r="P16" s="3730"/>
      <c r="Q16" s="1350"/>
      <c r="R16" s="705"/>
      <c r="S16" s="706"/>
      <c r="T16" s="705"/>
      <c r="U16" s="706"/>
      <c r="V16" s="705"/>
      <c r="W16" s="706"/>
      <c r="X16" s="1353"/>
      <c r="Y16" s="3730"/>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98</v>
      </c>
      <c r="G17" s="405"/>
      <c r="H17" s="406">
        <f>SUMIF(72:72,G18,73:73)-SUMIF(72:72,C18,73:73)+100</f>
        <v>100</v>
      </c>
      <c r="I17" s="403"/>
      <c r="J17" s="406">
        <f>SUMIF(72:72,I18,73:73)-SUMIF(72:72,C18,73:73)+100</f>
        <v>100</v>
      </c>
      <c r="K17" s="563">
        <v>2</v>
      </c>
      <c r="L17" s="923"/>
      <c r="M17" s="914"/>
      <c r="N17" s="914"/>
      <c r="O17" s="922"/>
      <c r="P17" s="3730"/>
      <c r="Q17" s="1350" t="str">
        <f>B17</f>
        <v>交通便捷度</v>
      </c>
      <c r="R17" s="705" t="s">
        <v>14</v>
      </c>
      <c r="S17" s="706">
        <f>F17</f>
        <v>98</v>
      </c>
      <c r="T17" s="705" t="s">
        <v>14</v>
      </c>
      <c r="U17" s="706">
        <f>H17</f>
        <v>100</v>
      </c>
      <c r="V17" s="705" t="s">
        <v>14</v>
      </c>
      <c r="W17" s="706">
        <f>J17</f>
        <v>100</v>
      </c>
      <c r="X17" s="1353"/>
      <c r="Y17" s="3730"/>
      <c r="Z17" s="1354" t="str">
        <f>Q17</f>
        <v>交通便捷度</v>
      </c>
      <c r="AA17" s="1351">
        <f t="shared" si="3"/>
        <v>1.0204081632653061</v>
      </c>
      <c r="AB17" s="1351">
        <f t="shared" si="4"/>
        <v>1</v>
      </c>
      <c r="AC17" s="1351">
        <f t="shared" si="5"/>
        <v>1</v>
      </c>
    </row>
    <row r="18" spans="1:29" ht="15">
      <c r="A18" s="379"/>
      <c r="B18" s="407"/>
      <c r="C18" s="1898" t="s">
        <v>3744</v>
      </c>
      <c r="D18" s="401"/>
      <c r="E18" s="1900" t="s">
        <v>3745</v>
      </c>
      <c r="F18" s="404"/>
      <c r="G18" s="1899" t="s">
        <v>3744</v>
      </c>
      <c r="H18" s="399"/>
      <c r="I18" s="1900" t="s">
        <v>3744</v>
      </c>
      <c r="J18" s="399"/>
      <c r="K18" s="564"/>
      <c r="L18" s="923"/>
      <c r="M18" s="914"/>
      <c r="N18" s="914"/>
      <c r="O18" s="922"/>
      <c r="P18" s="3730"/>
      <c r="Q18" s="1350"/>
      <c r="R18" s="705"/>
      <c r="S18" s="706"/>
      <c r="T18" s="705"/>
      <c r="U18" s="706"/>
      <c r="V18" s="705"/>
      <c r="W18" s="706"/>
      <c r="X18" s="1353"/>
      <c r="Y18" s="3730"/>
      <c r="Z18" s="1354"/>
      <c r="AA18" s="1351">
        <v>1</v>
      </c>
      <c r="AB18" s="1351">
        <v>1</v>
      </c>
      <c r="AC18" s="1351">
        <v>1</v>
      </c>
    </row>
    <row r="19" spans="1:29" ht="42.75">
      <c r="A19" s="379"/>
      <c r="B19" s="402" t="s">
        <v>1809</v>
      </c>
      <c r="C19" s="1897" t="str">
        <f>估价对象房地状况!G5</f>
        <v>估价对象所在区域公共配套设施齐备情况</v>
      </c>
      <c r="D19" s="406">
        <v>100</v>
      </c>
      <c r="E19" s="408"/>
      <c r="F19" s="409">
        <f>SUMIF(74:74,E20,75:75)-SUMIF(74:74,C20,75:75)+100</f>
        <v>98</v>
      </c>
      <c r="G19" s="410"/>
      <c r="H19" s="401">
        <f>SUMIF(74:74,G20,75:75)-SUMIF(74:74,C20,75:75)+100</f>
        <v>98</v>
      </c>
      <c r="I19" s="408"/>
      <c r="J19" s="401">
        <f>SUMIF(74:74,I20,75:75)-SUMIF(74:74,C20,75:75)+100</f>
        <v>100</v>
      </c>
      <c r="K19" s="563">
        <v>2</v>
      </c>
      <c r="L19" s="923"/>
      <c r="M19" s="914"/>
      <c r="N19" s="914"/>
      <c r="O19" s="922"/>
      <c r="P19" s="3730"/>
      <c r="Q19" s="1350" t="str">
        <f>B19</f>
        <v>公共配套设施</v>
      </c>
      <c r="R19" s="705" t="s">
        <v>14</v>
      </c>
      <c r="S19" s="706">
        <f>F19</f>
        <v>98</v>
      </c>
      <c r="T19" s="705" t="s">
        <v>14</v>
      </c>
      <c r="U19" s="706">
        <f>H19</f>
        <v>98</v>
      </c>
      <c r="V19" s="705" t="s">
        <v>14</v>
      </c>
      <c r="W19" s="706">
        <f>J19</f>
        <v>100</v>
      </c>
      <c r="X19" s="1353"/>
      <c r="Y19" s="3730"/>
      <c r="Z19" s="1354" t="str">
        <f>Q19</f>
        <v>公共配套设施</v>
      </c>
      <c r="AA19" s="1351">
        <f t="shared" si="3"/>
        <v>1.0204081632653061</v>
      </c>
      <c r="AB19" s="1351">
        <f t="shared" si="4"/>
        <v>1.0204081632653061</v>
      </c>
      <c r="AC19" s="1351">
        <f t="shared" si="5"/>
        <v>1</v>
      </c>
    </row>
    <row r="20" spans="1:29" ht="15">
      <c r="A20" s="379"/>
      <c r="B20" s="407"/>
      <c r="C20" s="398" t="s">
        <v>3744</v>
      </c>
      <c r="D20" s="399"/>
      <c r="E20" s="398" t="s">
        <v>3745</v>
      </c>
      <c r="F20" s="400"/>
      <c r="G20" s="398" t="s">
        <v>3745</v>
      </c>
      <c r="H20" s="399"/>
      <c r="I20" s="398" t="s">
        <v>3744</v>
      </c>
      <c r="J20" s="399"/>
      <c r="K20" s="564"/>
      <c r="L20" s="923"/>
      <c r="M20" s="914"/>
      <c r="N20" s="914"/>
      <c r="O20" s="922"/>
      <c r="P20" s="3730"/>
      <c r="Q20" s="1350"/>
      <c r="R20" s="705"/>
      <c r="S20" s="706"/>
      <c r="T20" s="705"/>
      <c r="U20" s="706"/>
      <c r="V20" s="705"/>
      <c r="W20" s="706"/>
      <c r="X20" s="1353"/>
      <c r="Y20" s="3730"/>
      <c r="Z20" s="1354"/>
      <c r="AA20" s="1351">
        <v>1</v>
      </c>
      <c r="AB20" s="1351">
        <v>1</v>
      </c>
      <c r="AC20" s="1351">
        <v>1</v>
      </c>
    </row>
    <row r="21" spans="1:29" ht="28.5">
      <c r="A21" s="379"/>
      <c r="B21" s="1131" t="s">
        <v>1810</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730"/>
      <c r="Q21" s="1350" t="str">
        <f>B21</f>
        <v>基础设施水平</v>
      </c>
      <c r="R21" s="705" t="s">
        <v>14</v>
      </c>
      <c r="S21" s="706">
        <f>F21</f>
        <v>100</v>
      </c>
      <c r="T21" s="705" t="s">
        <v>14</v>
      </c>
      <c r="U21" s="706">
        <f>H21</f>
        <v>100</v>
      </c>
      <c r="V21" s="705" t="s">
        <v>14</v>
      </c>
      <c r="W21" s="706">
        <f>J21</f>
        <v>100</v>
      </c>
      <c r="X21" s="1353"/>
      <c r="Y21" s="3730"/>
      <c r="Z21" s="1354" t="str">
        <f>Q21</f>
        <v>基础设施水平</v>
      </c>
      <c r="AA21" s="1351">
        <f t="shared" ref="AA21" si="8">D21/F21</f>
        <v>1</v>
      </c>
      <c r="AB21" s="1351">
        <f t="shared" ref="AB21" si="9">D21/H21</f>
        <v>1</v>
      </c>
      <c r="AC21" s="1351">
        <f t="shared" ref="AC21" si="10">D21/J21</f>
        <v>1</v>
      </c>
    </row>
    <row r="22" spans="1:29" ht="15">
      <c r="A22" s="379"/>
      <c r="B22" s="1131"/>
      <c r="C22" s="1898" t="s">
        <v>3746</v>
      </c>
      <c r="D22" s="399"/>
      <c r="E22" s="1898" t="s">
        <v>3746</v>
      </c>
      <c r="F22" s="400"/>
      <c r="G22" s="1898" t="s">
        <v>3746</v>
      </c>
      <c r="H22" s="399"/>
      <c r="I22" s="1898" t="s">
        <v>3746</v>
      </c>
      <c r="J22" s="399"/>
      <c r="K22" s="1130"/>
      <c r="L22" s="923"/>
      <c r="M22" s="914"/>
      <c r="N22" s="914"/>
      <c r="O22" s="922"/>
      <c r="P22" s="3730"/>
      <c r="Q22" s="1350"/>
      <c r="R22" s="705"/>
      <c r="S22" s="706"/>
      <c r="T22" s="705"/>
      <c r="U22" s="706"/>
      <c r="V22" s="705"/>
      <c r="W22" s="706"/>
      <c r="X22" s="1353"/>
      <c r="Y22" s="3730"/>
      <c r="Z22" s="1354"/>
      <c r="AA22" s="1351">
        <v>1</v>
      </c>
      <c r="AB22" s="1351">
        <v>1</v>
      </c>
      <c r="AC22" s="1351">
        <v>1</v>
      </c>
    </row>
    <row r="23" spans="1:29" ht="71.25">
      <c r="A23" s="379"/>
      <c r="B23" s="402" t="s">
        <v>1811</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3</v>
      </c>
      <c r="L23" s="923"/>
      <c r="M23" s="914"/>
      <c r="N23" s="914"/>
      <c r="O23" s="922"/>
      <c r="P23" s="3730"/>
      <c r="Q23" s="1350" t="str">
        <f>B23</f>
        <v>环境质量</v>
      </c>
      <c r="R23" s="705" t="s">
        <v>14</v>
      </c>
      <c r="S23" s="706">
        <f>F23</f>
        <v>100</v>
      </c>
      <c r="T23" s="705" t="s">
        <v>14</v>
      </c>
      <c r="U23" s="706">
        <f>H23</f>
        <v>100</v>
      </c>
      <c r="V23" s="705" t="s">
        <v>14</v>
      </c>
      <c r="W23" s="706">
        <f>J23</f>
        <v>100</v>
      </c>
      <c r="X23" s="1353"/>
      <c r="Y23" s="3730"/>
      <c r="Z23" s="1354" t="str">
        <f>Q23</f>
        <v>环境质量</v>
      </c>
      <c r="AA23" s="1351">
        <f t="shared" si="3"/>
        <v>1</v>
      </c>
      <c r="AB23" s="1351">
        <f t="shared" si="4"/>
        <v>1</v>
      </c>
      <c r="AC23" s="1351">
        <f t="shared" si="5"/>
        <v>1</v>
      </c>
    </row>
    <row r="24" spans="1:29" ht="15">
      <c r="A24" s="379"/>
      <c r="B24" s="1131"/>
      <c r="C24" s="398" t="s">
        <v>3710</v>
      </c>
      <c r="D24" s="399"/>
      <c r="E24" s="398" t="s">
        <v>3710</v>
      </c>
      <c r="F24" s="400"/>
      <c r="G24" s="398" t="s">
        <v>3710</v>
      </c>
      <c r="H24" s="399"/>
      <c r="I24" s="398" t="s">
        <v>3710</v>
      </c>
      <c r="J24" s="399"/>
      <c r="K24" s="564"/>
      <c r="L24" s="923"/>
      <c r="M24" s="914"/>
      <c r="N24" s="914"/>
      <c r="O24" s="922"/>
      <c r="P24" s="3730"/>
      <c r="Q24" s="1350"/>
      <c r="R24" s="705"/>
      <c r="S24" s="706"/>
      <c r="T24" s="705"/>
      <c r="U24" s="706"/>
      <c r="V24" s="705"/>
      <c r="W24" s="706"/>
      <c r="X24" s="1353"/>
      <c r="Y24" s="3730"/>
      <c r="Z24" s="1354"/>
      <c r="AA24" s="1351">
        <v>1</v>
      </c>
      <c r="AB24" s="1351">
        <v>1</v>
      </c>
      <c r="AC24" s="1351">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0">
        <f>B25</f>
        <v>111</v>
      </c>
      <c r="R25" s="705" t="s">
        <v>14</v>
      </c>
      <c r="S25" s="706">
        <f>F25</f>
        <v>100</v>
      </c>
      <c r="T25" s="705" t="s">
        <v>14</v>
      </c>
      <c r="U25" s="706">
        <f>H25</f>
        <v>100</v>
      </c>
      <c r="V25" s="705" t="s">
        <v>14</v>
      </c>
      <c r="W25" s="706">
        <f>J25</f>
        <v>100</v>
      </c>
      <c r="X25" s="1353"/>
      <c r="Y25" s="3730"/>
      <c r="Z25" s="1354">
        <f>Q25</f>
        <v>111</v>
      </c>
      <c r="AA25" s="1351">
        <f t="shared" si="3"/>
        <v>1</v>
      </c>
      <c r="AB25" s="1351">
        <f t="shared" si="4"/>
        <v>1</v>
      </c>
      <c r="AC25" s="1351">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0">
        <f t="shared" ref="Q26:Q40" si="11">B26</f>
        <v>111</v>
      </c>
      <c r="R26" s="705" t="s">
        <v>14</v>
      </c>
      <c r="S26" s="706">
        <f>F26</f>
        <v>100</v>
      </c>
      <c r="T26" s="705" t="s">
        <v>14</v>
      </c>
      <c r="U26" s="706">
        <f>H26</f>
        <v>100</v>
      </c>
      <c r="V26" s="705" t="s">
        <v>14</v>
      </c>
      <c r="W26" s="706">
        <f>J26</f>
        <v>100</v>
      </c>
      <c r="X26" s="1353"/>
      <c r="Y26" s="3730"/>
      <c r="Z26" s="1354">
        <f>Q26</f>
        <v>111</v>
      </c>
      <c r="AA26" s="1351">
        <f t="shared" si="3"/>
        <v>1</v>
      </c>
      <c r="AB26" s="1351">
        <f t="shared" si="4"/>
        <v>1</v>
      </c>
      <c r="AC26" s="1351">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1">
        <f t="shared" si="11"/>
        <v>111</v>
      </c>
      <c r="R27" s="701" t="s">
        <v>14</v>
      </c>
      <c r="S27" s="702">
        <f>F27</f>
        <v>100</v>
      </c>
      <c r="T27" s="701" t="s">
        <v>14</v>
      </c>
      <c r="U27" s="702">
        <f>H27</f>
        <v>100</v>
      </c>
      <c r="V27" s="701" t="s">
        <v>14</v>
      </c>
      <c r="W27" s="702">
        <f>J27</f>
        <v>100</v>
      </c>
      <c r="X27" s="703"/>
      <c r="Y27" s="3730"/>
      <c r="Z27" s="52">
        <f>Q27</f>
        <v>111</v>
      </c>
      <c r="AA27" s="1351">
        <f>D27/F27</f>
        <v>1</v>
      </c>
      <c r="AB27" s="1351">
        <f>D27/H27</f>
        <v>1</v>
      </c>
      <c r="AC27" s="1351">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0">
        <f t="shared" si="11"/>
        <v>111</v>
      </c>
      <c r="R28" s="705" t="s">
        <v>14</v>
      </c>
      <c r="S28" s="706">
        <f t="shared" ref="S28:S40" si="12">F28</f>
        <v>100</v>
      </c>
      <c r="T28" s="705" t="s">
        <v>14</v>
      </c>
      <c r="U28" s="706">
        <f t="shared" ref="U28:U40" si="13">H28</f>
        <v>100</v>
      </c>
      <c r="V28" s="705" t="s">
        <v>14</v>
      </c>
      <c r="W28" s="706">
        <f t="shared" ref="W28:W40" si="14">J28</f>
        <v>100</v>
      </c>
      <c r="X28" s="1353"/>
      <c r="Y28" s="3730"/>
      <c r="Z28" s="1354">
        <f t="shared" ref="Z28:Z40" si="15">Q28</f>
        <v>111</v>
      </c>
      <c r="AA28" s="1351">
        <f t="shared" si="3"/>
        <v>1</v>
      </c>
      <c r="AB28" s="1351">
        <f t="shared" si="4"/>
        <v>1</v>
      </c>
      <c r="AC28" s="1351">
        <f t="shared" si="5"/>
        <v>1</v>
      </c>
    </row>
    <row r="29" spans="1:29" ht="28.5">
      <c r="A29" s="417" t="s">
        <v>1691</v>
      </c>
      <c r="B29" s="63" t="s">
        <v>1814</v>
      </c>
      <c r="C29" s="1964" t="s">
        <v>3753</v>
      </c>
      <c r="D29" s="418">
        <v>100</v>
      </c>
      <c r="E29" s="1964" t="s">
        <v>3753</v>
      </c>
      <c r="F29" s="412">
        <f>SUMIF(88:88,E29,89:89)-SUMIF(88:88,C29,89:89)+100</f>
        <v>100</v>
      </c>
      <c r="G29" s="1964" t="s">
        <v>3753</v>
      </c>
      <c r="H29" s="386">
        <f>SUMIF(88:88,G29,89:89)-SUMIF(88:88,C29,89:89)+100</f>
        <v>100</v>
      </c>
      <c r="I29" s="1964" t="s">
        <v>3753</v>
      </c>
      <c r="J29" s="418">
        <f>SUMIF(88:88,I29,89:89)-SUMIF(88:88,C29,89:89)+100</f>
        <v>100</v>
      </c>
      <c r="K29" s="561">
        <v>3</v>
      </c>
      <c r="L29" s="923"/>
      <c r="M29" s="914"/>
      <c r="N29" s="914"/>
      <c r="O29" s="922"/>
      <c r="P29" s="3731" t="s">
        <v>1693</v>
      </c>
      <c r="Q29" s="1350" t="str">
        <f t="shared" si="11"/>
        <v>建筑类型</v>
      </c>
      <c r="R29" s="705" t="s">
        <v>14</v>
      </c>
      <c r="S29" s="706">
        <f t="shared" si="12"/>
        <v>100</v>
      </c>
      <c r="T29" s="705" t="s">
        <v>14</v>
      </c>
      <c r="U29" s="706">
        <f t="shared" si="13"/>
        <v>100</v>
      </c>
      <c r="V29" s="705" t="s">
        <v>14</v>
      </c>
      <c r="W29" s="706">
        <f t="shared" si="14"/>
        <v>100</v>
      </c>
      <c r="X29" s="1353"/>
      <c r="Y29" s="3732" t="s">
        <v>1693</v>
      </c>
      <c r="Z29" s="1354" t="str">
        <f t="shared" si="15"/>
        <v>建筑类型</v>
      </c>
      <c r="AA29" s="1351">
        <f t="shared" si="3"/>
        <v>1</v>
      </c>
      <c r="AB29" s="1351">
        <f t="shared" si="4"/>
        <v>1</v>
      </c>
      <c r="AC29" s="1351">
        <f t="shared" si="5"/>
        <v>1</v>
      </c>
    </row>
    <row r="30" spans="1:29" s="422" customFormat="1" ht="15">
      <c r="A30" s="419"/>
      <c r="B30" s="375" t="s">
        <v>1694</v>
      </c>
      <c r="C30" s="420">
        <f>计算过程!L11+计算过程!L12+计算过程!L13+计算过程!L14+计算过程!L22</f>
        <v>238602.59000000003</v>
      </c>
      <c r="D30" s="127">
        <v>100</v>
      </c>
      <c r="E30" s="381">
        <v>5000</v>
      </c>
      <c r="F30" s="376">
        <f>LOOKUP(E30,91:91,92:92)-LOOKUP(C30,91:91,92:92)+100</f>
        <v>102</v>
      </c>
      <c r="G30" s="380">
        <v>3000</v>
      </c>
      <c r="H30" s="127">
        <f>LOOKUP(G30,91:91,92:92)-LOOKUP(C30,91:91,92:92)+100</f>
        <v>102</v>
      </c>
      <c r="I30" s="380">
        <v>10000</v>
      </c>
      <c r="J30" s="127">
        <f>LOOKUP(I30,91:91,92:92)-LOOKUP(C30,91:91,92:92)+100</f>
        <v>102</v>
      </c>
      <c r="K30" s="562"/>
      <c r="L30" s="921"/>
      <c r="M30" s="924"/>
      <c r="N30" s="924"/>
      <c r="O30" s="925"/>
      <c r="P30" s="3732"/>
      <c r="Q30" s="707" t="str">
        <f t="shared" si="11"/>
        <v>项目建筑规模</v>
      </c>
      <c r="R30" s="708" t="s">
        <v>14</v>
      </c>
      <c r="S30" s="709">
        <f t="shared" si="12"/>
        <v>102</v>
      </c>
      <c r="T30" s="708" t="s">
        <v>14</v>
      </c>
      <c r="U30" s="709">
        <f t="shared" si="13"/>
        <v>102</v>
      </c>
      <c r="V30" s="708" t="s">
        <v>14</v>
      </c>
      <c r="W30" s="709">
        <f t="shared" si="14"/>
        <v>102</v>
      </c>
      <c r="X30" s="710"/>
      <c r="Y30" s="3732"/>
      <c r="Z30" s="711" t="str">
        <f t="shared" si="15"/>
        <v>项目建筑规模</v>
      </c>
      <c r="AA30" s="1351">
        <f t="shared" si="3"/>
        <v>0.98039215686274506</v>
      </c>
      <c r="AB30" s="1351">
        <f t="shared" si="4"/>
        <v>0.98039215686274506</v>
      </c>
      <c r="AC30" s="1351">
        <f t="shared" si="5"/>
        <v>0.98039215686274506</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v>1</v>
      </c>
      <c r="L31" s="923"/>
      <c r="M31" s="914"/>
      <c r="N31" s="914"/>
      <c r="O31" s="922"/>
      <c r="P31" s="3732"/>
      <c r="Q31" s="1350" t="str">
        <f t="shared" si="11"/>
        <v>建筑结构</v>
      </c>
      <c r="R31" s="705" t="s">
        <v>14</v>
      </c>
      <c r="S31" s="706">
        <f t="shared" si="12"/>
        <v>100</v>
      </c>
      <c r="T31" s="705" t="s">
        <v>14</v>
      </c>
      <c r="U31" s="706">
        <f t="shared" si="13"/>
        <v>100</v>
      </c>
      <c r="V31" s="705" t="s">
        <v>14</v>
      </c>
      <c r="W31" s="706">
        <f t="shared" si="14"/>
        <v>100</v>
      </c>
      <c r="X31" s="1353"/>
      <c r="Y31" s="3732"/>
      <c r="Z31" s="1354" t="str">
        <f t="shared" si="15"/>
        <v>建筑结构</v>
      </c>
      <c r="AA31" s="1351">
        <f t="shared" si="3"/>
        <v>1</v>
      </c>
      <c r="AB31" s="1351">
        <f t="shared" si="4"/>
        <v>1</v>
      </c>
      <c r="AC31" s="1351">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v>1</v>
      </c>
      <c r="L32" s="923"/>
      <c r="M32" s="914"/>
      <c r="N32" s="914"/>
      <c r="O32" s="922"/>
      <c r="P32" s="3732"/>
      <c r="Q32" s="1350" t="str">
        <f t="shared" si="11"/>
        <v>公共部分装修</v>
      </c>
      <c r="R32" s="705" t="s">
        <v>14</v>
      </c>
      <c r="S32" s="706">
        <f t="shared" si="12"/>
        <v>100</v>
      </c>
      <c r="T32" s="705" t="s">
        <v>14</v>
      </c>
      <c r="U32" s="706">
        <f t="shared" si="13"/>
        <v>100</v>
      </c>
      <c r="V32" s="705" t="s">
        <v>14</v>
      </c>
      <c r="W32" s="706">
        <f t="shared" si="14"/>
        <v>100</v>
      </c>
      <c r="X32" s="1353"/>
      <c r="Y32" s="3732"/>
      <c r="Z32" s="1354" t="str">
        <f t="shared" si="15"/>
        <v>公共部分装修</v>
      </c>
      <c r="AA32" s="1351">
        <f t="shared" si="3"/>
        <v>1</v>
      </c>
      <c r="AB32" s="1351">
        <f t="shared" si="4"/>
        <v>1</v>
      </c>
      <c r="AC32" s="1351">
        <f t="shared" si="5"/>
        <v>1</v>
      </c>
    </row>
    <row r="33" spans="1:29" ht="15">
      <c r="A33" s="423"/>
      <c r="B33" s="375" t="s">
        <v>1783</v>
      </c>
      <c r="C33" s="3495">
        <f>'数据-取费表'!N6</f>
        <v>0.98</v>
      </c>
      <c r="D33" s="386">
        <v>100</v>
      </c>
      <c r="E33" s="425">
        <v>0.95</v>
      </c>
      <c r="F33" s="412">
        <f>LOOKUP(E33,98:98,99:99)-LOOKUP(C33,98:98,99:99)+100</f>
        <v>100</v>
      </c>
      <c r="G33" s="425">
        <v>0.9</v>
      </c>
      <c r="H33" s="412">
        <f>LOOKUP(G33,98:98,99:99)-LOOKUP(C33,98:98,99:99)+100</f>
        <v>100</v>
      </c>
      <c r="I33" s="425">
        <v>0.95</v>
      </c>
      <c r="J33" s="386">
        <f>LOOKUP(I33,98:98,99:99)-LOOKUP(C33,98:98,99:99)+100</f>
        <v>100</v>
      </c>
      <c r="K33" s="561">
        <v>1</v>
      </c>
      <c r="L33" s="923"/>
      <c r="M33" s="914"/>
      <c r="N33" s="914"/>
      <c r="O33" s="922"/>
      <c r="P33" s="3732"/>
      <c r="Q33" s="1350" t="str">
        <f t="shared" si="11"/>
        <v>成新度</v>
      </c>
      <c r="R33" s="705" t="s">
        <v>14</v>
      </c>
      <c r="S33" s="706">
        <f t="shared" si="12"/>
        <v>100</v>
      </c>
      <c r="T33" s="705" t="s">
        <v>14</v>
      </c>
      <c r="U33" s="706">
        <f t="shared" si="13"/>
        <v>100</v>
      </c>
      <c r="V33" s="705" t="s">
        <v>14</v>
      </c>
      <c r="W33" s="706">
        <f t="shared" si="14"/>
        <v>100</v>
      </c>
      <c r="X33" s="1353"/>
      <c r="Y33" s="3732"/>
      <c r="Z33" s="1354" t="str">
        <f t="shared" si="15"/>
        <v>成新度</v>
      </c>
      <c r="AA33" s="1351">
        <f t="shared" si="3"/>
        <v>1</v>
      </c>
      <c r="AB33" s="1351">
        <f t="shared" si="4"/>
        <v>1</v>
      </c>
      <c r="AC33" s="1351">
        <f t="shared" si="5"/>
        <v>1</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1</v>
      </c>
      <c r="L34" s="915"/>
      <c r="M34" s="916"/>
      <c r="N34" s="916"/>
      <c r="O34" s="917"/>
      <c r="P34" s="3732"/>
      <c r="Q34" s="1341"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v>1</v>
      </c>
      <c r="L35" s="923"/>
      <c r="M35" s="914"/>
      <c r="N35" s="914"/>
      <c r="O35" s="922"/>
      <c r="P35" s="3732" t="s">
        <v>1693</v>
      </c>
      <c r="Q35" s="1350" t="str">
        <f t="shared" si="11"/>
        <v>市政基础设施</v>
      </c>
      <c r="R35" s="705" t="s">
        <v>14</v>
      </c>
      <c r="S35" s="706">
        <f t="shared" si="12"/>
        <v>100</v>
      </c>
      <c r="T35" s="705" t="s">
        <v>14</v>
      </c>
      <c r="U35" s="706">
        <f t="shared" si="13"/>
        <v>100</v>
      </c>
      <c r="V35" s="705" t="s">
        <v>14</v>
      </c>
      <c r="W35" s="706">
        <f t="shared" si="14"/>
        <v>100</v>
      </c>
      <c r="X35" s="1353"/>
      <c r="Y35" s="3732" t="s">
        <v>1693</v>
      </c>
      <c r="Z35" s="1354" t="str">
        <f t="shared" si="15"/>
        <v>市政基础设施</v>
      </c>
      <c r="AA35" s="1351">
        <f t="shared" si="3"/>
        <v>1</v>
      </c>
      <c r="AB35" s="1351">
        <f t="shared" si="4"/>
        <v>1</v>
      </c>
      <c r="AC35" s="1351">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v>1</v>
      </c>
      <c r="L36" s="923"/>
      <c r="M36" s="914"/>
      <c r="N36" s="914"/>
      <c r="O36" s="922"/>
      <c r="P36" s="3732"/>
      <c r="Q36" s="1350" t="str">
        <f t="shared" si="11"/>
        <v>内部装修</v>
      </c>
      <c r="R36" s="705" t="s">
        <v>14</v>
      </c>
      <c r="S36" s="706">
        <f t="shared" si="12"/>
        <v>100</v>
      </c>
      <c r="T36" s="705" t="s">
        <v>14</v>
      </c>
      <c r="U36" s="706">
        <f t="shared" si="13"/>
        <v>100</v>
      </c>
      <c r="V36" s="705" t="s">
        <v>14</v>
      </c>
      <c r="W36" s="706">
        <f t="shared" si="14"/>
        <v>100</v>
      </c>
      <c r="X36" s="1353"/>
      <c r="Y36" s="3732"/>
      <c r="Z36" s="1354" t="str">
        <f t="shared" si="15"/>
        <v>内部装修</v>
      </c>
      <c r="AA36" s="1351">
        <f t="shared" si="3"/>
        <v>1</v>
      </c>
      <c r="AB36" s="1351">
        <f t="shared" si="4"/>
        <v>1</v>
      </c>
      <c r="AC36" s="1351">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0" t="str">
        <f t="shared" si="11"/>
        <v>内部装修状况</v>
      </c>
      <c r="R37" s="705" t="s">
        <v>14</v>
      </c>
      <c r="S37" s="706">
        <f t="shared" si="12"/>
        <v>100</v>
      </c>
      <c r="T37" s="705" t="s">
        <v>14</v>
      </c>
      <c r="U37" s="706">
        <f t="shared" si="13"/>
        <v>100</v>
      </c>
      <c r="V37" s="705" t="s">
        <v>14</v>
      </c>
      <c r="W37" s="706">
        <f t="shared" si="14"/>
        <v>100</v>
      </c>
      <c r="X37" s="1353"/>
      <c r="Y37" s="3732"/>
      <c r="Z37" s="1354" t="str">
        <f t="shared" si="15"/>
        <v>内部装修状况</v>
      </c>
      <c r="AA37" s="1351">
        <f t="shared" si="3"/>
        <v>1</v>
      </c>
      <c r="AB37" s="1351">
        <f t="shared" si="4"/>
        <v>1</v>
      </c>
      <c r="AC37" s="1351">
        <f t="shared" si="5"/>
        <v>1</v>
      </c>
    </row>
    <row r="38" spans="1:29" s="422" customFormat="1" ht="27">
      <c r="A38" s="419"/>
      <c r="B38" s="1133">
        <v>111</v>
      </c>
      <c r="C38" s="420"/>
      <c r="D38" s="386">
        <v>100</v>
      </c>
      <c r="E38" s="3496" t="s">
        <v>3784</v>
      </c>
      <c r="F38" s="412">
        <f>SUMIF(108:108,E38,109:109)-SUMIF(108:108,C38,109:109)+100</f>
        <v>100</v>
      </c>
      <c r="G38" s="3496" t="s">
        <v>3784</v>
      </c>
      <c r="H38" s="386">
        <f>SUMIF(108:108,G38,109:109)-SUMIF(108:108,C38,109:109)+100</f>
        <v>100</v>
      </c>
      <c r="I38" s="3496" t="s">
        <v>3784</v>
      </c>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1">
        <f t="shared" si="3"/>
        <v>1</v>
      </c>
      <c r="AB38" s="1351">
        <f t="shared" si="4"/>
        <v>1</v>
      </c>
      <c r="AC38" s="1351">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0">
        <f t="shared" si="11"/>
        <v>111</v>
      </c>
      <c r="R39" s="705" t="s">
        <v>14</v>
      </c>
      <c r="S39" s="706">
        <f t="shared" si="12"/>
        <v>100</v>
      </c>
      <c r="T39" s="705" t="s">
        <v>14</v>
      </c>
      <c r="U39" s="706">
        <f t="shared" si="13"/>
        <v>100</v>
      </c>
      <c r="V39" s="705" t="s">
        <v>14</v>
      </c>
      <c r="W39" s="706">
        <f t="shared" si="14"/>
        <v>100</v>
      </c>
      <c r="X39" s="1353"/>
      <c r="Y39" s="3732"/>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8"/>
      <c r="Q40" s="1350">
        <f t="shared" si="11"/>
        <v>111</v>
      </c>
      <c r="R40" s="705" t="s">
        <v>14</v>
      </c>
      <c r="S40" s="706">
        <f t="shared" si="12"/>
        <v>100</v>
      </c>
      <c r="T40" s="705" t="s">
        <v>14</v>
      </c>
      <c r="U40" s="706">
        <f t="shared" si="13"/>
        <v>100</v>
      </c>
      <c r="V40" s="705" t="s">
        <v>14</v>
      </c>
      <c r="W40" s="706">
        <f t="shared" si="14"/>
        <v>100</v>
      </c>
      <c r="X40" s="1353"/>
      <c r="Y40" s="3798"/>
      <c r="Z40" s="1354">
        <f t="shared" si="15"/>
        <v>111</v>
      </c>
      <c r="AA40" s="1351">
        <f t="shared" si="3"/>
        <v>1</v>
      </c>
      <c r="AB40" s="1351">
        <f t="shared" si="4"/>
        <v>1</v>
      </c>
      <c r="AC40" s="1351">
        <f t="shared" si="5"/>
        <v>1</v>
      </c>
    </row>
    <row r="41" spans="1:29" ht="15">
      <c r="A41" s="430" t="s">
        <v>1705</v>
      </c>
      <c r="B41" s="431"/>
      <c r="C41" s="1154" t="s">
        <v>0</v>
      </c>
      <c r="D41" s="1155"/>
      <c r="E41" s="1156">
        <v>0.55000000000000004</v>
      </c>
      <c r="F41" s="1157"/>
      <c r="G41" s="1158">
        <f>ROUND(0.5*(1+5%),1)</f>
        <v>0.5</v>
      </c>
      <c r="H41" s="1159"/>
      <c r="I41" s="1156">
        <v>0.7</v>
      </c>
      <c r="J41" s="1159"/>
      <c r="K41" s="714"/>
      <c r="L41" s="926"/>
      <c r="M41" s="927"/>
      <c r="N41" s="914"/>
      <c r="O41" s="927"/>
      <c r="P41" s="3728" t="str">
        <f>A41</f>
        <v>成交单价（元/平方米）</v>
      </c>
      <c r="Q41" s="3728"/>
      <c r="R41" s="3794">
        <f>E41</f>
        <v>0.55000000000000004</v>
      </c>
      <c r="S41" s="3794"/>
      <c r="T41" s="3794">
        <f>G41</f>
        <v>0.5</v>
      </c>
      <c r="U41" s="3794"/>
      <c r="V41" s="3794">
        <f>I41</f>
        <v>0.7</v>
      </c>
      <c r="W41" s="3794"/>
      <c r="X41" s="690"/>
      <c r="Y41" s="712"/>
      <c r="Z41" s="690"/>
      <c r="AA41" s="690"/>
      <c r="AB41" s="690"/>
      <c r="AC41" s="690"/>
    </row>
    <row r="42" spans="1:29" ht="15.75" thickBot="1">
      <c r="A42" s="437" t="s">
        <v>1790</v>
      </c>
      <c r="B42" s="438"/>
      <c r="C42" s="1160">
        <f>R43</f>
        <v>0.6</v>
      </c>
      <c r="D42" s="2314" t="s">
        <v>2134</v>
      </c>
      <c r="E42" s="1161">
        <f>R42</f>
        <v>0.5</v>
      </c>
      <c r="F42" s="2315"/>
      <c r="G42" s="1160">
        <f>T42</f>
        <v>0.5</v>
      </c>
      <c r="H42" s="2315"/>
      <c r="I42" s="1161">
        <f>V42</f>
        <v>0.7</v>
      </c>
      <c r="J42" s="2315"/>
      <c r="K42" s="2317">
        <f>F42+H42+J42</f>
        <v>0</v>
      </c>
      <c r="L42" s="926"/>
      <c r="M42" s="927"/>
      <c r="N42" s="914"/>
      <c r="O42" s="927"/>
      <c r="P42" s="3728" t="str">
        <f>A42</f>
        <v>比较价值（元/平方米）</v>
      </c>
      <c r="Q42" s="3728"/>
      <c r="R42" s="3794">
        <f>IF(F1="售价",ROUND(PRODUCT(R41,AA7:AA40),0),ROUND(PRODUCT(R41,AA7:AA40),1))</f>
        <v>0.5</v>
      </c>
      <c r="S42" s="3794"/>
      <c r="T42" s="3794">
        <f>IF(F1="售价",ROUND(PRODUCT(T41,AB7:AB40),0),ROUND(PRODUCT(T41,AB7:AB40),1))</f>
        <v>0.5</v>
      </c>
      <c r="U42" s="3794"/>
      <c r="V42" s="3794">
        <f>IF(F1="售价",ROUND(PRODUCT(V41,AC7:AC40),0),ROUND(PRODUCT(V41,AC7:AC40),1))</f>
        <v>0.7</v>
      </c>
      <c r="W42" s="3794"/>
      <c r="X42" s="690"/>
      <c r="Y42" s="690"/>
      <c r="Z42" s="690"/>
      <c r="AA42" s="690"/>
      <c r="AB42" s="690"/>
      <c r="AC42" s="690"/>
    </row>
    <row r="43" spans="1:29" ht="15.75" thickBot="1">
      <c r="A43" s="441" t="s">
        <v>1791</v>
      </c>
      <c r="B43" s="442"/>
      <c r="C43" s="1163">
        <f>R43</f>
        <v>0.6</v>
      </c>
      <c r="D43" s="1163"/>
      <c r="E43" s="1163"/>
      <c r="F43" s="1163"/>
      <c r="G43" s="1163"/>
      <c r="H43" s="1163"/>
      <c r="I43" s="1163"/>
      <c r="J43" s="1163"/>
      <c r="K43" s="715"/>
      <c r="L43" s="926"/>
      <c r="M43" s="927"/>
      <c r="N43" s="927"/>
      <c r="O43" s="927"/>
      <c r="P43" s="3722" t="str">
        <f>A43</f>
        <v>估价对象XX用房的比较价值（楼面单价，元/平方米）</v>
      </c>
      <c r="Q43" s="3723"/>
      <c r="R43" s="3793">
        <f>IF(F1="售价",ROUND(IF(D42="简单平均",AVERAGE(R42:V42),R42*F42+T42*H42+V42*J42),0),ROUND(IF(D42="简单平均",AVERAGE(R42:V42),R42*F42+T42*H42+V42*J42),1))</f>
        <v>0.6</v>
      </c>
      <c r="S43" s="3793"/>
      <c r="T43" s="3793"/>
      <c r="U43" s="3793"/>
      <c r="V43" s="3793"/>
      <c r="W43" s="379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1792</v>
      </c>
      <c r="D46" s="447"/>
      <c r="E46" s="448">
        <f>IF(E41&lt;E42,E42/E41-1,E41/E42-1)</f>
        <v>0.10000000000000009</v>
      </c>
      <c r="F46" s="449" t="str">
        <f>IF(OR(E46&gt;=0.3,E46&lt;=-0.3),"超过30%","")</f>
        <v/>
      </c>
      <c r="G46" s="448">
        <f>IF(G41&lt;G42,G42/G41-1,G41/G42-1)</f>
        <v>0</v>
      </c>
      <c r="H46" s="449" t="str">
        <f>IF(OR(G46&gt;=0.3,G46&lt;=-0.3),"超过30%","")</f>
        <v/>
      </c>
      <c r="I46" s="448">
        <f>IF(I41&lt;I42,I42/I41-1,I41/I42-1)</f>
        <v>0</v>
      </c>
      <c r="J46" s="449" t="str">
        <f>IF(OR(I46&gt;=0.3,I46&lt;=-0.3),"超过30%","")</f>
        <v/>
      </c>
      <c r="K46" s="2726"/>
      <c r="L46" s="889"/>
      <c r="M46" s="927"/>
      <c r="N46" s="927"/>
      <c r="O46" s="927"/>
    </row>
    <row r="47" spans="1:29" ht="13.5" customHeight="1">
      <c r="A47" s="2721"/>
      <c r="B47" s="2721"/>
      <c r="C47" s="446" t="s">
        <v>1793</v>
      </c>
      <c r="D47" s="450"/>
      <c r="E47" s="448">
        <f>IF(E42&lt;G42,G42/E42-1,E42/G42-1)</f>
        <v>0</v>
      </c>
      <c r="F47" s="449" t="str">
        <f>IF(OR(E47&gt;=0.2,E47&lt;=-0.2),"超过20%","")</f>
        <v/>
      </c>
      <c r="G47" s="448">
        <f>IF(G42&lt;I42,I42/G42-1,G42/I42-1)</f>
        <v>0.39999999999999991</v>
      </c>
      <c r="H47" s="449" t="str">
        <f>IF(OR(G47&gt;=0.2,G47&lt;=-0.2),"超过20%","")</f>
        <v>超过20%</v>
      </c>
      <c r="I47" s="448">
        <f>IF(I42&lt;E42,E42/I42-1,I42/E42-1)</f>
        <v>0.39999999999999991</v>
      </c>
      <c r="J47" s="449" t="str">
        <f>IF(OR(I47&gt;=0.2,I47&lt;=-0.2),"超过20%","")</f>
        <v>超过20%</v>
      </c>
      <c r="K47" s="2726"/>
      <c r="L47" s="889"/>
      <c r="M47" s="927"/>
      <c r="N47" s="927"/>
      <c r="O47" s="927"/>
    </row>
    <row r="48" spans="1:29" s="451" customFormat="1" ht="13.5" customHeight="1">
      <c r="A48" s="2724"/>
      <c r="B48" s="2724"/>
      <c r="C48" s="446" t="s">
        <v>1794</v>
      </c>
      <c r="D48" s="450"/>
      <c r="E48" s="448">
        <f>IF(E41&lt;G41,G41/E41-1,E41/G41-1)</f>
        <v>0.10000000000000009</v>
      </c>
      <c r="F48" s="449" t="str">
        <f>IF(OR(E48&gt;=0.3,E48&lt;=-0.3),"超过30%","")</f>
        <v/>
      </c>
      <c r="G48" s="448">
        <f>IF(G41&lt;I41,I41/G41-1,G41/I41-1)</f>
        <v>0.39999999999999991</v>
      </c>
      <c r="H48" s="449" t="str">
        <f>IF(OR(G48&gt;=0.3,G48&lt;=-0.3),"超过30%","")</f>
        <v>超过30%</v>
      </c>
      <c r="I48" s="448">
        <f>IF(I41&lt;E41,E41/I41-1,I41/E41-1)</f>
        <v>0.27272727272727249</v>
      </c>
      <c r="J48" s="449" t="str">
        <f>IF(OR(I48&gt;=0.3,I48&lt;=-0.3),"超过30%","")</f>
        <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3" t="str">
        <f>YEAR(C7)&amp;"-"&amp;MONTH(C7)</f>
        <v>2024-9</v>
      </c>
      <c r="D52" s="1184">
        <f>EDATE(C52,-1)</f>
        <v>45505</v>
      </c>
      <c r="E52" s="1184">
        <f t="shared" ref="E52:O52" si="16">EDATE(D52,-1)</f>
        <v>45474</v>
      </c>
      <c r="F52" s="1184">
        <f t="shared" si="16"/>
        <v>45444</v>
      </c>
      <c r="G52" s="1184">
        <f t="shared" si="16"/>
        <v>45413</v>
      </c>
      <c r="H52" s="1184">
        <f t="shared" si="16"/>
        <v>45383</v>
      </c>
      <c r="I52" s="1184">
        <f t="shared" si="16"/>
        <v>45352</v>
      </c>
      <c r="J52" s="1184">
        <f t="shared" si="16"/>
        <v>45323</v>
      </c>
      <c r="K52" s="1184">
        <f t="shared" si="16"/>
        <v>45292</v>
      </c>
      <c r="L52" s="1184">
        <f t="shared" si="16"/>
        <v>45261</v>
      </c>
      <c r="M52" s="1184">
        <f t="shared" si="16"/>
        <v>45231</v>
      </c>
      <c r="N52" s="1184">
        <f t="shared" si="16"/>
        <v>45200</v>
      </c>
      <c r="O52" s="1184">
        <f t="shared" si="16"/>
        <v>45170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3494" t="s">
        <v>3752</v>
      </c>
      <c r="E55" s="472"/>
      <c r="F55" s="472"/>
      <c r="G55" s="472"/>
      <c r="H55" s="472"/>
      <c r="I55" s="472"/>
      <c r="J55" s="472"/>
      <c r="K55" s="472"/>
      <c r="L55" s="473"/>
      <c r="M55" s="474"/>
      <c r="N55" s="932"/>
      <c r="O55" s="932"/>
      <c r="P55" s="475"/>
      <c r="Q55" s="453"/>
    </row>
    <row r="56" spans="1:17" s="108" customFormat="1" ht="15.75" thickBot="1">
      <c r="A56" s="470"/>
      <c r="B56" s="459"/>
      <c r="C56" s="587">
        <v>100</v>
      </c>
      <c r="D56" s="461">
        <v>103</v>
      </c>
      <c r="E56" s="461"/>
      <c r="F56" s="461"/>
      <c r="G56" s="461"/>
      <c r="H56" s="461"/>
      <c r="I56" s="461"/>
      <c r="J56" s="461"/>
      <c r="K56" s="461"/>
      <c r="L56" s="461"/>
      <c r="M56" s="463"/>
      <c r="N56" s="932"/>
      <c r="O56" s="932"/>
      <c r="P56" s="453"/>
      <c r="Q56" s="453"/>
    </row>
    <row r="57" spans="1:17">
      <c r="A57" s="476" t="s">
        <v>1716</v>
      </c>
      <c r="B57" s="477" t="s">
        <v>1682</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97</v>
      </c>
      <c r="E79" s="493">
        <f>D79-$K23</f>
        <v>94</v>
      </c>
      <c r="F79" s="493">
        <f>E79-$K23</f>
        <v>91</v>
      </c>
      <c r="G79" s="493">
        <f>F79-$K23</f>
        <v>88</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1691</v>
      </c>
      <c r="B88" s="477" t="s">
        <v>1733</v>
      </c>
      <c r="C88" s="3482" t="s">
        <v>3754</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4"/>
      <c r="O89" s="934"/>
      <c r="P89" s="42"/>
      <c r="Q89" s="453"/>
    </row>
    <row r="90" spans="1:17" ht="29.25" thickTop="1">
      <c r="A90" s="483"/>
      <c r="B90" s="487" t="s">
        <v>1734</v>
      </c>
      <c r="C90" s="527" t="str">
        <f>C91&amp;"(含)"&amp;"-"&amp;D91</f>
        <v>0(含)-3000</v>
      </c>
      <c r="D90" s="527" t="str">
        <f t="shared" ref="D90:L90" si="20">D91&amp;"(含)"&amp;"-"&amp;E91</f>
        <v>3000(含)-30000</v>
      </c>
      <c r="E90" s="527" t="str">
        <f t="shared" si="20"/>
        <v>30000(含)-300000</v>
      </c>
      <c r="F90" s="527" t="str">
        <f t="shared" si="20"/>
        <v>300000(含)-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3000</v>
      </c>
      <c r="E91" s="544">
        <v>30000</v>
      </c>
      <c r="F91" s="544">
        <v>300000</v>
      </c>
      <c r="G91" s="544"/>
      <c r="H91" s="544"/>
      <c r="I91" s="544"/>
      <c r="J91" s="545"/>
      <c r="K91" s="545"/>
      <c r="L91" s="546"/>
      <c r="M91" s="547"/>
      <c r="N91" s="935"/>
      <c r="O91" s="935"/>
      <c r="P91" s="507"/>
      <c r="Q91" s="508"/>
    </row>
    <row r="92" spans="1:17" s="422" customFormat="1" ht="15.75" thickBot="1">
      <c r="A92" s="502"/>
      <c r="B92" s="492"/>
      <c r="C92" s="509">
        <v>100</v>
      </c>
      <c r="D92" s="485">
        <v>98</v>
      </c>
      <c r="E92" s="485">
        <v>96</v>
      </c>
      <c r="F92" s="485">
        <v>94</v>
      </c>
      <c r="G92" s="485"/>
      <c r="H92" s="485"/>
      <c r="I92" s="485"/>
      <c r="J92" s="485"/>
      <c r="K92" s="485"/>
      <c r="L92" s="485"/>
      <c r="M92" s="486"/>
      <c r="N92" s="934"/>
      <c r="O92" s="934"/>
      <c r="P92" s="507"/>
      <c r="Q92" s="508"/>
    </row>
    <row r="93" spans="1:17" ht="15" thickTop="1">
      <c r="A93" s="548"/>
      <c r="B93" s="487" t="s">
        <v>1735</v>
      </c>
      <c r="C93" s="3484" t="s">
        <v>3755</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2" priority="20" stopIfTrue="1" operator="containsText" text="超过">
      <formula>NOT(ISERROR(SEARCH("超过",F46)))</formula>
    </cfRule>
  </conditionalFormatting>
  <conditionalFormatting sqref="H48">
    <cfRule type="containsText" dxfId="81" priority="19" stopIfTrue="1" operator="containsText" text="超过">
      <formula>NOT(ISERROR(SEARCH("超过",H48)))</formula>
    </cfRule>
  </conditionalFormatting>
  <conditionalFormatting sqref="F48">
    <cfRule type="containsText" dxfId="80" priority="18" stopIfTrue="1" operator="containsText" text="超过">
      <formula>NOT(ISERROR(SEARCH("超过",F48)))</formula>
    </cfRule>
  </conditionalFormatting>
  <conditionalFormatting sqref="F47 H47">
    <cfRule type="containsText" dxfId="79" priority="17" stopIfTrue="1" operator="containsText" text="超过">
      <formula>NOT(ISERROR(SEARCH("超过",F47)))</formula>
    </cfRule>
  </conditionalFormatting>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G48">
    <cfRule type="expression" dxfId="75" priority="13" stopIfTrue="1">
      <formula>$H$48="超过30%"</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J46">
    <cfRule type="containsText" dxfId="72" priority="10" stopIfTrue="1" operator="containsText" text="超过">
      <formula>NOT(ISERROR(SEARCH("超过",J46)))</formula>
    </cfRule>
  </conditionalFormatting>
  <conditionalFormatting sqref="J48">
    <cfRule type="containsText" dxfId="71" priority="9" stopIfTrue="1" operator="containsText" text="超过">
      <formula>NOT(ISERROR(SEARCH("超过",J48)))</formula>
    </cfRule>
  </conditionalFormatting>
  <conditionalFormatting sqref="J47">
    <cfRule type="containsText" dxfId="70" priority="8" stopIfTrue="1" operator="containsText" text="超过">
      <formula>NOT(ISERROR(SEARCH("超过",J47)))</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F42">
    <cfRule type="expression" dxfId="66" priority="4">
      <formula>$D$42="简单平均"</formula>
    </cfRule>
  </conditionalFormatting>
  <conditionalFormatting sqref="H42">
    <cfRule type="expression" dxfId="65" priority="3">
      <formula>$D$42="简单平均"</formula>
    </cfRule>
  </conditionalFormatting>
  <conditionalFormatting sqref="J42">
    <cfRule type="expression" dxfId="64" priority="2">
      <formula>$D$42="简单平均"</formula>
    </cfRule>
  </conditionalFormatting>
  <conditionalFormatting sqref="F7:F40 H7:H40 J7:J40">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zoomScaleSheetLayoutView="90" workbookViewId="0">
      <selection activeCell="L40" sqref="L4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4" t="s">
        <v>1807</v>
      </c>
      <c r="C1" s="1223" t="s">
        <v>1659</v>
      </c>
      <c r="D1" s="1224" t="s">
        <v>3392</v>
      </c>
      <c r="E1" s="3429" t="s">
        <v>3747</v>
      </c>
      <c r="F1" s="1876" t="s">
        <v>3748</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IF(E1="项目模式",IF(C2="——",ROUND(C50*D3/10000,0),ROUND(C50*D3/10000,0)-D2),IF(E1="单套模式",IF(C2="——",ROUND(C50*D3/10000,4),ROUND(C50*D3/10000,4)-D2)))</f>
        <v>24</v>
      </c>
      <c r="C2" s="1878" t="s">
        <v>43</v>
      </c>
      <c r="D2" s="1115" t="e">
        <f ca="1">IF(E1="项目模式",SUMIF(INDIRECT("'"&amp;F2&amp;"'"&amp;"!A:A"),"承租人权益价值",INDIRECT("'"&amp;F2&amp;"'"&amp;"!c:c")),SUMIF(INDIRECT("'"&amp;F2&amp;"'"&amp;"!A:A"),"承租人权益价值（单套）",INDIRECT("'"&amp;F2&amp;"'"&amp;"!c:c")))</f>
        <v>#REF!</v>
      </c>
      <c r="E2" s="1879" t="s">
        <v>1460</v>
      </c>
      <c r="F2" s="1880"/>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0.9</v>
      </c>
      <c r="C3" s="354" t="s">
        <v>1765</v>
      </c>
      <c r="D3" s="353">
        <f>IF(D1="",'数据-汇总表'!E3,SUMIF('数据-汇总表'!$C19:$C33,D1,'数据-汇总表'!$E19:$E33))</f>
        <v>270951.53999999998</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1766</v>
      </c>
      <c r="B4" s="356"/>
      <c r="C4" s="3725" t="s">
        <v>1767</v>
      </c>
      <c r="D4" s="3737"/>
      <c r="E4" s="3738" t="s">
        <v>1768</v>
      </c>
      <c r="F4" s="3739"/>
      <c r="G4" s="3725" t="s">
        <v>1769</v>
      </c>
      <c r="H4" s="3737"/>
      <c r="I4" s="3725" t="s">
        <v>1770</v>
      </c>
      <c r="J4" s="3737"/>
      <c r="K4" s="559" t="s">
        <v>1771</v>
      </c>
      <c r="L4" s="2711"/>
      <c r="M4" s="2712"/>
      <c r="N4" s="2712"/>
      <c r="O4" s="2712"/>
      <c r="P4" s="3810" t="s">
        <v>1772</v>
      </c>
      <c r="Q4" s="3811"/>
      <c r="R4" s="3814" t="s">
        <v>1768</v>
      </c>
      <c r="S4" s="3815"/>
      <c r="T4" s="3814" t="s">
        <v>1769</v>
      </c>
      <c r="U4" s="3815"/>
      <c r="V4" s="3816" t="s">
        <v>1770</v>
      </c>
      <c r="W4" s="3816"/>
      <c r="X4" s="1955"/>
      <c r="Y4" s="3814" t="s">
        <v>1772</v>
      </c>
      <c r="Z4" s="3815"/>
      <c r="AA4" s="3818" t="s">
        <v>1768</v>
      </c>
      <c r="AB4" s="3818" t="s">
        <v>1769</v>
      </c>
      <c r="AC4" s="3807" t="s">
        <v>1770</v>
      </c>
    </row>
    <row r="5" spans="1:29" ht="15">
      <c r="A5" s="358"/>
      <c r="B5" s="359"/>
      <c r="C5" s="3754" t="s">
        <v>1670</v>
      </c>
      <c r="D5" s="3755"/>
      <c r="E5" s="3803" t="s">
        <v>3762</v>
      </c>
      <c r="F5" s="3762"/>
      <c r="G5" s="3801" t="s">
        <v>3758</v>
      </c>
      <c r="H5" s="3755"/>
      <c r="I5" s="3801" t="s">
        <v>3795</v>
      </c>
      <c r="J5" s="3755"/>
      <c r="K5" s="559"/>
      <c r="L5" s="2711"/>
      <c r="M5" s="2712"/>
      <c r="N5" s="2712"/>
      <c r="O5" s="2712"/>
      <c r="P5" s="3812"/>
      <c r="Q5" s="3743"/>
      <c r="R5" s="3748"/>
      <c r="S5" s="3749"/>
      <c r="T5" s="3748"/>
      <c r="U5" s="3749"/>
      <c r="V5" s="3733"/>
      <c r="W5" s="3733"/>
      <c r="X5" s="1353"/>
      <c r="Y5" s="3748"/>
      <c r="Z5" s="3749"/>
      <c r="AA5" s="3735"/>
      <c r="AB5" s="3735"/>
      <c r="AC5" s="3808"/>
    </row>
    <row r="6" spans="1:29" ht="15.75" thickBot="1">
      <c r="A6" s="360"/>
      <c r="B6" s="361"/>
      <c r="C6" s="3752" t="s">
        <v>1674</v>
      </c>
      <c r="D6" s="3753"/>
      <c r="E6" s="3759" t="s">
        <v>1674</v>
      </c>
      <c r="F6" s="3760"/>
      <c r="G6" s="3752" t="s">
        <v>1674</v>
      </c>
      <c r="H6" s="3753"/>
      <c r="I6" s="3752" t="s">
        <v>1674</v>
      </c>
      <c r="J6" s="3753"/>
      <c r="K6" s="559" t="s">
        <v>1675</v>
      </c>
      <c r="L6" s="2711"/>
      <c r="M6" s="2712"/>
      <c r="N6" s="2712"/>
      <c r="O6" s="2712"/>
      <c r="P6" s="3813"/>
      <c r="Q6" s="3745"/>
      <c r="R6" s="3748"/>
      <c r="S6" s="3749"/>
      <c r="T6" s="3750"/>
      <c r="U6" s="3751"/>
      <c r="V6" s="3733"/>
      <c r="W6" s="3733"/>
      <c r="X6" s="1353"/>
      <c r="Y6" s="3750"/>
      <c r="Z6" s="3751"/>
      <c r="AA6" s="3736"/>
      <c r="AB6" s="3736"/>
      <c r="AC6" s="3809"/>
    </row>
    <row r="7" spans="1:29" s="108" customFormat="1" ht="15.75" thickBot="1">
      <c r="A7" s="362" t="s">
        <v>1676</v>
      </c>
      <c r="B7" s="363"/>
      <c r="C7" s="364">
        <f>'数据-取费表'!B2</f>
        <v>45540</v>
      </c>
      <c r="D7" s="365">
        <v>100</v>
      </c>
      <c r="E7" s="366">
        <f>C7</f>
        <v>45540</v>
      </c>
      <c r="F7" s="367">
        <f>SUMIF(59:59,YEAR(E7)&amp;"-"&amp;MONTH(E7),60:60)</f>
        <v>100</v>
      </c>
      <c r="G7" s="366">
        <f>C7</f>
        <v>45540</v>
      </c>
      <c r="H7" s="365">
        <f>SUMIF(59:59,YEAR(G7)&amp;"-"&amp;MONTH(G7),60:60)</f>
        <v>100</v>
      </c>
      <c r="I7" s="366">
        <f>C7</f>
        <v>45540</v>
      </c>
      <c r="J7" s="365">
        <f>SUMIF(59:59,YEAR(I7)&amp;"-"&amp;MONTH(I7),60:60)</f>
        <v>100</v>
      </c>
      <c r="K7" s="560"/>
      <c r="L7" s="2713"/>
      <c r="M7" s="2714"/>
      <c r="N7" s="2714"/>
      <c r="O7" s="2714"/>
      <c r="P7" s="3817" t="s">
        <v>1677</v>
      </c>
      <c r="Q7" s="3758"/>
      <c r="R7" s="701" t="s">
        <v>14</v>
      </c>
      <c r="S7" s="702">
        <f t="shared" ref="S7:S15" si="0">F7</f>
        <v>100</v>
      </c>
      <c r="T7" s="701" t="s">
        <v>14</v>
      </c>
      <c r="U7" s="702">
        <f t="shared" ref="U7:U15" si="1">H7</f>
        <v>100</v>
      </c>
      <c r="V7" s="701" t="s">
        <v>14</v>
      </c>
      <c r="W7" s="702">
        <f t="shared" ref="W7:W15" si="2">J7</f>
        <v>100</v>
      </c>
      <c r="X7" s="703"/>
      <c r="Y7" s="3756" t="s">
        <v>1677</v>
      </c>
      <c r="Z7" s="3757"/>
      <c r="AA7" s="704">
        <f>D7/F7</f>
        <v>1</v>
      </c>
      <c r="AB7" s="704">
        <f>D7/H7</f>
        <v>1</v>
      </c>
      <c r="AC7" s="1956">
        <f>D7/J7</f>
        <v>1</v>
      </c>
    </row>
    <row r="8" spans="1:29" s="108" customFormat="1" ht="15.75" thickBot="1">
      <c r="A8" s="362" t="s">
        <v>1678</v>
      </c>
      <c r="B8" s="363"/>
      <c r="C8" s="368" t="s">
        <v>3750</v>
      </c>
      <c r="D8" s="365">
        <v>100</v>
      </c>
      <c r="E8" s="368" t="s">
        <v>3751</v>
      </c>
      <c r="F8" s="367">
        <f>SUMIF(62:62,E8,63:63)-SUMIF(62:62,C8,63:63)+100</f>
        <v>102</v>
      </c>
      <c r="G8" s="368" t="s">
        <v>3751</v>
      </c>
      <c r="H8" s="365">
        <f>SUMIF(62:62,G8,63:63)-SUMIF(62:62,C8,63:63)+100</f>
        <v>102</v>
      </c>
      <c r="I8" s="368" t="s">
        <v>3751</v>
      </c>
      <c r="J8" s="365">
        <f>SUMIF(62:62,I8,63:63)-SUMIF(62:62,C8,63:63)+100</f>
        <v>102</v>
      </c>
      <c r="K8" s="560"/>
      <c r="L8" s="2713"/>
      <c r="M8" s="2714"/>
      <c r="N8" s="2714"/>
      <c r="O8" s="2714"/>
      <c r="P8" s="3817" t="s">
        <v>1680</v>
      </c>
      <c r="Q8" s="3757"/>
      <c r="R8" s="701" t="s">
        <v>14</v>
      </c>
      <c r="S8" s="702">
        <f t="shared" si="0"/>
        <v>102</v>
      </c>
      <c r="T8" s="701" t="s">
        <v>14</v>
      </c>
      <c r="U8" s="702">
        <f t="shared" si="1"/>
        <v>102</v>
      </c>
      <c r="V8" s="701" t="s">
        <v>14</v>
      </c>
      <c r="W8" s="702">
        <f t="shared" si="2"/>
        <v>102</v>
      </c>
      <c r="X8" s="703"/>
      <c r="Y8" s="3756" t="s">
        <v>1680</v>
      </c>
      <c r="Z8" s="3757"/>
      <c r="AA8" s="704">
        <f t="shared" ref="AA8:AA47" si="3">D8/F8</f>
        <v>0.98039215686274506</v>
      </c>
      <c r="AB8" s="704">
        <f t="shared" ref="AB8:AB47" si="4">D8/H8</f>
        <v>0.98039215686274506</v>
      </c>
      <c r="AC8" s="1956">
        <f t="shared" ref="AC8:AC47" si="5">D8/J8</f>
        <v>0.98039215686274506</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7" t="s">
        <v>1683</v>
      </c>
      <c r="Q9" s="1341" t="str">
        <f t="shared" ref="Q9:Q15" si="6">B9</f>
        <v>用途</v>
      </c>
      <c r="R9" s="701" t="s">
        <v>14</v>
      </c>
      <c r="S9" s="702">
        <f t="shared" si="0"/>
        <v>100</v>
      </c>
      <c r="T9" s="701" t="s">
        <v>14</v>
      </c>
      <c r="U9" s="702">
        <f t="shared" si="1"/>
        <v>100</v>
      </c>
      <c r="V9" s="701" t="s">
        <v>14</v>
      </c>
      <c r="W9" s="702">
        <f t="shared" si="2"/>
        <v>100</v>
      </c>
      <c r="X9" s="703"/>
      <c r="Y9" s="3625" t="s">
        <v>1684</v>
      </c>
      <c r="Z9" s="52" t="str">
        <f t="shared" ref="Z9:Z15" si="7">Q9</f>
        <v>用途</v>
      </c>
      <c r="AA9" s="704">
        <f t="shared" si="3"/>
        <v>1</v>
      </c>
      <c r="AB9" s="704">
        <f t="shared" si="4"/>
        <v>1</v>
      </c>
      <c r="AC9" s="1956">
        <f t="shared" si="5"/>
        <v>1</v>
      </c>
    </row>
    <row r="10" spans="1:29" s="378" customFormat="1" ht="27">
      <c r="A10" s="374"/>
      <c r="B10" s="375" t="s">
        <v>1685</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7"/>
      <c r="Q10" s="1341"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6">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7"/>
      <c r="Q11" s="1341"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27"/>
      <c r="Q12" s="1341">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27"/>
      <c r="Q13" s="1341">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727"/>
      <c r="Q14" s="1341">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6">
        <f t="shared" si="5"/>
        <v>1</v>
      </c>
    </row>
    <row r="15" spans="1:29" ht="71.25">
      <c r="A15" s="391" t="s">
        <v>1687</v>
      </c>
      <c r="B15" s="577" t="s">
        <v>1808</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99" t="s">
        <v>1688</v>
      </c>
      <c r="Q15" s="1350" t="str">
        <f t="shared" si="6"/>
        <v>办公集聚程度</v>
      </c>
      <c r="R15" s="705" t="s">
        <v>14</v>
      </c>
      <c r="S15" s="706">
        <f t="shared" si="0"/>
        <v>100</v>
      </c>
      <c r="T15" s="705" t="s">
        <v>14</v>
      </c>
      <c r="U15" s="706">
        <f t="shared" si="1"/>
        <v>100</v>
      </c>
      <c r="V15" s="705" t="s">
        <v>14</v>
      </c>
      <c r="W15" s="706">
        <f t="shared" si="2"/>
        <v>100</v>
      </c>
      <c r="X15" s="1353"/>
      <c r="Y15" s="3729" t="s">
        <v>1688</v>
      </c>
      <c r="Z15" s="1354" t="str">
        <f t="shared" si="7"/>
        <v>办公集聚程度</v>
      </c>
      <c r="AA15" s="1351">
        <f t="shared" si="3"/>
        <v>1</v>
      </c>
      <c r="AB15" s="1351">
        <f t="shared" si="4"/>
        <v>1</v>
      </c>
      <c r="AC15" s="1959">
        <f t="shared" si="5"/>
        <v>1</v>
      </c>
    </row>
    <row r="16" spans="1:29" ht="15">
      <c r="A16" s="379"/>
      <c r="B16" s="578"/>
      <c r="C16" s="1901"/>
      <c r="D16" s="399"/>
      <c r="E16" s="398"/>
      <c r="F16" s="399"/>
      <c r="G16" s="1901"/>
      <c r="H16" s="401"/>
      <c r="I16" s="398"/>
      <c r="J16" s="399"/>
      <c r="K16" s="564"/>
      <c r="L16" s="2718"/>
      <c r="M16" s="2712"/>
      <c r="N16" s="2712"/>
      <c r="O16" s="2712"/>
      <c r="P16" s="3800"/>
      <c r="Q16" s="1350"/>
      <c r="R16" s="705"/>
      <c r="S16" s="706"/>
      <c r="T16" s="705"/>
      <c r="U16" s="706"/>
      <c r="V16" s="705"/>
      <c r="W16" s="706"/>
      <c r="X16" s="1353"/>
      <c r="Y16" s="3730"/>
      <c r="Z16" s="1354"/>
      <c r="AA16" s="1351">
        <v>1</v>
      </c>
      <c r="AB16" s="1351">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00"/>
      <c r="Q17" s="1350" t="str">
        <f>B17</f>
        <v>交通便捷度</v>
      </c>
      <c r="R17" s="705" t="s">
        <v>14</v>
      </c>
      <c r="S17" s="706">
        <f>F17</f>
        <v>100</v>
      </c>
      <c r="T17" s="705" t="s">
        <v>14</v>
      </c>
      <c r="U17" s="706">
        <f>H17</f>
        <v>100</v>
      </c>
      <c r="V17" s="705" t="s">
        <v>14</v>
      </c>
      <c r="W17" s="706">
        <f>J17</f>
        <v>100</v>
      </c>
      <c r="X17" s="1353"/>
      <c r="Y17" s="3730"/>
      <c r="Z17" s="1354" t="str">
        <f>Q17</f>
        <v>交通便捷度</v>
      </c>
      <c r="AA17" s="1351">
        <f t="shared" si="3"/>
        <v>1</v>
      </c>
      <c r="AB17" s="1351">
        <f t="shared" si="4"/>
        <v>1</v>
      </c>
      <c r="AC17" s="1959">
        <f t="shared" si="5"/>
        <v>1</v>
      </c>
    </row>
    <row r="18" spans="1:29" ht="15">
      <c r="A18" s="379"/>
      <c r="B18" s="580"/>
      <c r="C18" s="1961"/>
      <c r="D18" s="401"/>
      <c r="E18" s="1899"/>
      <c r="F18" s="401"/>
      <c r="G18" s="1900"/>
      <c r="H18" s="399"/>
      <c r="I18" s="1900"/>
      <c r="J18" s="399"/>
      <c r="K18" s="564"/>
      <c r="L18" s="2718"/>
      <c r="M18" s="2712"/>
      <c r="N18" s="2712"/>
      <c r="O18" s="2712"/>
      <c r="P18" s="3800"/>
      <c r="Q18" s="1350"/>
      <c r="R18" s="705"/>
      <c r="S18" s="706"/>
      <c r="T18" s="705"/>
      <c r="U18" s="706"/>
      <c r="V18" s="705"/>
      <c r="W18" s="706"/>
      <c r="X18" s="1353"/>
      <c r="Y18" s="3730"/>
      <c r="Z18" s="1354"/>
      <c r="AA18" s="1351">
        <v>1</v>
      </c>
      <c r="AB18" s="1351">
        <v>1</v>
      </c>
      <c r="AC18" s="1959">
        <v>1</v>
      </c>
    </row>
    <row r="19" spans="1:29" ht="42.75">
      <c r="A19" s="379"/>
      <c r="B19" s="579" t="s">
        <v>1809</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00"/>
      <c r="Q19" s="1350" t="str">
        <f>B19</f>
        <v>公共配套设施</v>
      </c>
      <c r="R19" s="705" t="s">
        <v>14</v>
      </c>
      <c r="S19" s="706">
        <f>F19</f>
        <v>100</v>
      </c>
      <c r="T19" s="705" t="s">
        <v>14</v>
      </c>
      <c r="U19" s="706">
        <f>H19</f>
        <v>100</v>
      </c>
      <c r="V19" s="705" t="s">
        <v>14</v>
      </c>
      <c r="W19" s="706">
        <f>J19</f>
        <v>100</v>
      </c>
      <c r="X19" s="1353"/>
      <c r="Y19" s="3730"/>
      <c r="Z19" s="1354" t="str">
        <f>Q19</f>
        <v>公共配套设施</v>
      </c>
      <c r="AA19" s="1351">
        <f t="shared" si="3"/>
        <v>1</v>
      </c>
      <c r="AB19" s="1351">
        <f t="shared" si="4"/>
        <v>1</v>
      </c>
      <c r="AC19" s="1959">
        <f t="shared" si="5"/>
        <v>1</v>
      </c>
    </row>
    <row r="20" spans="1:29" ht="15">
      <c r="A20" s="379"/>
      <c r="B20" s="580"/>
      <c r="C20" s="1901"/>
      <c r="D20" s="399"/>
      <c r="E20" s="1894"/>
      <c r="F20" s="399"/>
      <c r="G20" s="1895"/>
      <c r="H20" s="399"/>
      <c r="I20" s="1895"/>
      <c r="J20" s="399"/>
      <c r="K20" s="564"/>
      <c r="L20" s="2718"/>
      <c r="M20" s="2712"/>
      <c r="N20" s="2712"/>
      <c r="O20" s="2712"/>
      <c r="P20" s="3800"/>
      <c r="Q20" s="1350"/>
      <c r="R20" s="705"/>
      <c r="S20" s="706"/>
      <c r="T20" s="705"/>
      <c r="U20" s="706"/>
      <c r="V20" s="705"/>
      <c r="W20" s="706"/>
      <c r="X20" s="1353"/>
      <c r="Y20" s="3730"/>
      <c r="Z20" s="1354"/>
      <c r="AA20" s="1351">
        <v>1</v>
      </c>
      <c r="AB20" s="1351">
        <v>1</v>
      </c>
      <c r="AC20" s="1959">
        <v>1</v>
      </c>
    </row>
    <row r="21" spans="1:29" ht="28.5">
      <c r="A21" s="379"/>
      <c r="B21" s="581" t="s">
        <v>1810</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00"/>
      <c r="Q21" s="1350" t="str">
        <f>B21</f>
        <v>基础设施水平</v>
      </c>
      <c r="R21" s="705" t="s">
        <v>14</v>
      </c>
      <c r="S21" s="706">
        <f>F21</f>
        <v>100</v>
      </c>
      <c r="T21" s="705" t="s">
        <v>14</v>
      </c>
      <c r="U21" s="706">
        <f>H21</f>
        <v>100</v>
      </c>
      <c r="V21" s="705" t="s">
        <v>14</v>
      </c>
      <c r="W21" s="706">
        <f>J21</f>
        <v>100</v>
      </c>
      <c r="X21" s="1353"/>
      <c r="Y21" s="3730"/>
      <c r="Z21" s="1354" t="str">
        <f>Q21</f>
        <v>基础设施水平</v>
      </c>
      <c r="AA21" s="1351">
        <f t="shared" ref="AA21" si="8">D21/F21</f>
        <v>1</v>
      </c>
      <c r="AB21" s="1351">
        <f t="shared" ref="AB21" si="9">D21/H21</f>
        <v>1</v>
      </c>
      <c r="AC21" s="1959">
        <f t="shared" ref="AC21" si="10">D21/J21</f>
        <v>1</v>
      </c>
    </row>
    <row r="22" spans="1:29" ht="15">
      <c r="A22" s="379"/>
      <c r="B22" s="581"/>
      <c r="C22" s="1961"/>
      <c r="D22" s="399"/>
      <c r="E22" s="398"/>
      <c r="F22" s="399"/>
      <c r="G22" s="1901"/>
      <c r="H22" s="399"/>
      <c r="I22" s="1901"/>
      <c r="J22" s="399"/>
      <c r="K22" s="1130"/>
      <c r="L22" s="2718"/>
      <c r="M22" s="2712"/>
      <c r="N22" s="2712"/>
      <c r="O22" s="2712"/>
      <c r="P22" s="3800"/>
      <c r="Q22" s="1350"/>
      <c r="R22" s="705"/>
      <c r="S22" s="706"/>
      <c r="T22" s="705"/>
      <c r="U22" s="706"/>
      <c r="V22" s="705"/>
      <c r="W22" s="706"/>
      <c r="X22" s="1353"/>
      <c r="Y22" s="3730"/>
      <c r="Z22" s="1354"/>
      <c r="AA22" s="1351">
        <v>1</v>
      </c>
      <c r="AB22" s="1351">
        <v>1</v>
      </c>
      <c r="AC22" s="1959">
        <v>1</v>
      </c>
    </row>
    <row r="23" spans="1:29" ht="42.75">
      <c r="A23" s="379"/>
      <c r="B23" s="579" t="s">
        <v>1811</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00"/>
      <c r="Q23" s="1350" t="str">
        <f>B23</f>
        <v>环境质量</v>
      </c>
      <c r="R23" s="705" t="s">
        <v>14</v>
      </c>
      <c r="S23" s="706">
        <f>F23</f>
        <v>100</v>
      </c>
      <c r="T23" s="705" t="s">
        <v>14</v>
      </c>
      <c r="U23" s="706">
        <f>H23</f>
        <v>100</v>
      </c>
      <c r="V23" s="705" t="s">
        <v>14</v>
      </c>
      <c r="W23" s="706">
        <f>J23</f>
        <v>100</v>
      </c>
      <c r="X23" s="1353"/>
      <c r="Y23" s="3730"/>
      <c r="Z23" s="1354" t="str">
        <f>Q23</f>
        <v>环境质量</v>
      </c>
      <c r="AA23" s="1351">
        <f t="shared" si="3"/>
        <v>1</v>
      </c>
      <c r="AB23" s="1351">
        <f t="shared" si="4"/>
        <v>1</v>
      </c>
      <c r="AC23" s="1959">
        <f t="shared" si="5"/>
        <v>1</v>
      </c>
    </row>
    <row r="24" spans="1:29" ht="15">
      <c r="A24" s="379"/>
      <c r="B24" s="581"/>
      <c r="C24" s="1901"/>
      <c r="D24" s="399"/>
      <c r="E24" s="1894"/>
      <c r="F24" s="399"/>
      <c r="G24" s="1895"/>
      <c r="H24" s="399"/>
      <c r="I24" s="1895"/>
      <c r="J24" s="399"/>
      <c r="K24" s="564"/>
      <c r="L24" s="2718"/>
      <c r="M24" s="2712"/>
      <c r="N24" s="2712"/>
      <c r="O24" s="2712"/>
      <c r="P24" s="3800"/>
      <c r="Q24" s="1350"/>
      <c r="R24" s="705"/>
      <c r="S24" s="706"/>
      <c r="T24" s="705"/>
      <c r="U24" s="706"/>
      <c r="V24" s="705"/>
      <c r="W24" s="706"/>
      <c r="X24" s="1353"/>
      <c r="Y24" s="3730"/>
      <c r="Z24" s="1354"/>
      <c r="AA24" s="1351">
        <v>1</v>
      </c>
      <c r="AB24" s="1351">
        <v>1</v>
      </c>
      <c r="AC24" s="1959">
        <v>1</v>
      </c>
    </row>
    <row r="25" spans="1:29" ht="27">
      <c r="A25" s="358"/>
      <c r="B25" s="579" t="s">
        <v>1812</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800"/>
      <c r="Q25" s="1350" t="str">
        <f>B25</f>
        <v>毗邻道路的类型与等级</v>
      </c>
      <c r="R25" s="705" t="s">
        <v>14</v>
      </c>
      <c r="S25" s="706">
        <f>F25</f>
        <v>100</v>
      </c>
      <c r="T25" s="705" t="s">
        <v>14</v>
      </c>
      <c r="U25" s="706">
        <f>H25</f>
        <v>100</v>
      </c>
      <c r="V25" s="705" t="s">
        <v>14</v>
      </c>
      <c r="W25" s="706">
        <f>J25</f>
        <v>100</v>
      </c>
      <c r="X25" s="1353"/>
      <c r="Y25" s="3730"/>
      <c r="Z25" s="1354" t="str">
        <f>Q25</f>
        <v>毗邻道路的类型与等级</v>
      </c>
      <c r="AA25" s="1351">
        <f t="shared" si="3"/>
        <v>1</v>
      </c>
      <c r="AB25" s="1351">
        <f t="shared" si="4"/>
        <v>1</v>
      </c>
      <c r="AC25" s="1959">
        <f t="shared" si="5"/>
        <v>1</v>
      </c>
    </row>
    <row r="26" spans="1:29" ht="15">
      <c r="A26" s="358"/>
      <c r="B26" s="580"/>
      <c r="C26" s="582"/>
      <c r="D26" s="386"/>
      <c r="E26" s="565"/>
      <c r="F26" s="386"/>
      <c r="G26" s="582"/>
      <c r="H26" s="386"/>
      <c r="I26" s="565"/>
      <c r="J26" s="386"/>
      <c r="K26" s="564"/>
      <c r="L26" s="2718"/>
      <c r="M26" s="2712"/>
      <c r="N26" s="2712"/>
      <c r="O26" s="2712"/>
      <c r="P26" s="3800"/>
      <c r="Q26" s="1350"/>
      <c r="R26" s="705"/>
      <c r="S26" s="706"/>
      <c r="T26" s="705"/>
      <c r="U26" s="706"/>
      <c r="V26" s="705"/>
      <c r="W26" s="706"/>
      <c r="X26" s="1353"/>
      <c r="Y26" s="3730"/>
      <c r="Z26" s="1354"/>
      <c r="AA26" s="1351">
        <v>1</v>
      </c>
      <c r="AB26" s="1351">
        <v>1</v>
      </c>
      <c r="AC26" s="1959">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00"/>
      <c r="Q27" s="1350" t="str">
        <f t="shared" ref="Q27:Q47" si="11">B27</f>
        <v>楼层</v>
      </c>
      <c r="R27" s="705" t="s">
        <v>14</v>
      </c>
      <c r="S27" s="706">
        <f>F27</f>
        <v>100</v>
      </c>
      <c r="T27" s="705" t="s">
        <v>14</v>
      </c>
      <c r="U27" s="706">
        <f>H27</f>
        <v>100</v>
      </c>
      <c r="V27" s="705" t="s">
        <v>14</v>
      </c>
      <c r="W27" s="706">
        <f>J27</f>
        <v>100</v>
      </c>
      <c r="X27" s="1353"/>
      <c r="Y27" s="3730"/>
      <c r="Z27" s="1354" t="str">
        <f>Q27</f>
        <v>楼层</v>
      </c>
      <c r="AA27" s="1351">
        <f t="shared" si="3"/>
        <v>1</v>
      </c>
      <c r="AB27" s="1351">
        <f t="shared" si="4"/>
        <v>1</v>
      </c>
      <c r="AC27" s="1959">
        <f t="shared" si="5"/>
        <v>1</v>
      </c>
    </row>
    <row r="28" spans="1:29" s="108" customFormat="1" ht="15">
      <c r="A28" s="382"/>
      <c r="B28" s="579" t="s">
        <v>1813</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800"/>
      <c r="Q28" s="1341" t="str">
        <f t="shared" si="11"/>
        <v>朝向</v>
      </c>
      <c r="R28" s="701" t="s">
        <v>14</v>
      </c>
      <c r="S28" s="702">
        <f>F28</f>
        <v>100</v>
      </c>
      <c r="T28" s="701" t="s">
        <v>14</v>
      </c>
      <c r="U28" s="702">
        <f>H28</f>
        <v>100</v>
      </c>
      <c r="V28" s="701" t="s">
        <v>14</v>
      </c>
      <c r="W28" s="702">
        <f>J28</f>
        <v>100</v>
      </c>
      <c r="X28" s="703"/>
      <c r="Y28" s="3730"/>
      <c r="Z28" s="52" t="str">
        <f>Q28</f>
        <v>朝向</v>
      </c>
      <c r="AA28" s="1351">
        <f>D28/F28</f>
        <v>1</v>
      </c>
      <c r="AB28" s="1351">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800"/>
      <c r="Q29" s="1350">
        <f t="shared" si="11"/>
        <v>111</v>
      </c>
      <c r="R29" s="705" t="s">
        <v>14</v>
      </c>
      <c r="S29" s="706">
        <f t="shared" ref="S29:S47" si="12">F29</f>
        <v>100</v>
      </c>
      <c r="T29" s="705" t="s">
        <v>14</v>
      </c>
      <c r="U29" s="706">
        <f t="shared" ref="U29:U47" si="13">H29</f>
        <v>100</v>
      </c>
      <c r="V29" s="705" t="s">
        <v>14</v>
      </c>
      <c r="W29" s="706">
        <f t="shared" ref="W29:W47" si="14">J29</f>
        <v>100</v>
      </c>
      <c r="X29" s="1353"/>
      <c r="Y29" s="3730"/>
      <c r="Z29" s="1354">
        <f t="shared" ref="Z29:Z47" si="15">Q29</f>
        <v>111</v>
      </c>
      <c r="AA29" s="1351">
        <f t="shared" si="3"/>
        <v>1</v>
      </c>
      <c r="AB29" s="1351">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800"/>
      <c r="Q30" s="1350">
        <f t="shared" si="11"/>
        <v>111</v>
      </c>
      <c r="R30" s="705" t="s">
        <v>14</v>
      </c>
      <c r="S30" s="706">
        <f t="shared" si="12"/>
        <v>100</v>
      </c>
      <c r="T30" s="705" t="s">
        <v>14</v>
      </c>
      <c r="U30" s="706">
        <f t="shared" si="13"/>
        <v>100</v>
      </c>
      <c r="V30" s="705" t="s">
        <v>14</v>
      </c>
      <c r="W30" s="706">
        <f t="shared" si="14"/>
        <v>100</v>
      </c>
      <c r="X30" s="1353"/>
      <c r="Y30" s="3730"/>
      <c r="Z30" s="1354">
        <f t="shared" si="15"/>
        <v>111</v>
      </c>
      <c r="AA30" s="1351">
        <f t="shared" si="3"/>
        <v>1</v>
      </c>
      <c r="AB30" s="1351">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800"/>
      <c r="Q31" s="1350">
        <f t="shared" si="11"/>
        <v>111</v>
      </c>
      <c r="R31" s="705" t="s">
        <v>14</v>
      </c>
      <c r="S31" s="706">
        <f t="shared" si="12"/>
        <v>100</v>
      </c>
      <c r="T31" s="705" t="s">
        <v>14</v>
      </c>
      <c r="U31" s="706">
        <f t="shared" si="13"/>
        <v>100</v>
      </c>
      <c r="V31" s="705" t="s">
        <v>14</v>
      </c>
      <c r="W31" s="706">
        <f t="shared" si="14"/>
        <v>100</v>
      </c>
      <c r="X31" s="1353"/>
      <c r="Y31" s="3730"/>
      <c r="Z31" s="1354">
        <f t="shared" si="15"/>
        <v>111</v>
      </c>
      <c r="AA31" s="1351">
        <f t="shared" si="3"/>
        <v>1</v>
      </c>
      <c r="AB31" s="1351">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800"/>
      <c r="Q32" s="1350">
        <f t="shared" si="11"/>
        <v>111</v>
      </c>
      <c r="R32" s="705" t="s">
        <v>14</v>
      </c>
      <c r="S32" s="706">
        <f t="shared" si="12"/>
        <v>100</v>
      </c>
      <c r="T32" s="705" t="s">
        <v>14</v>
      </c>
      <c r="U32" s="706">
        <f t="shared" si="13"/>
        <v>100</v>
      </c>
      <c r="V32" s="705" t="s">
        <v>14</v>
      </c>
      <c r="W32" s="706">
        <f t="shared" si="14"/>
        <v>100</v>
      </c>
      <c r="X32" s="1353"/>
      <c r="Y32" s="3730"/>
      <c r="Z32" s="1354">
        <f t="shared" si="15"/>
        <v>111</v>
      </c>
      <c r="AA32" s="1351">
        <f t="shared" si="3"/>
        <v>1</v>
      </c>
      <c r="AB32" s="1351">
        <f t="shared" si="4"/>
        <v>1</v>
      </c>
      <c r="AC32" s="1959">
        <f t="shared" si="5"/>
        <v>1</v>
      </c>
    </row>
    <row r="33" spans="1:29" ht="15">
      <c r="A33" s="391" t="s">
        <v>1691</v>
      </c>
      <c r="B33" s="63" t="s">
        <v>1814</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95" t="s">
        <v>1693</v>
      </c>
      <c r="Q33" s="1350" t="str">
        <f t="shared" si="11"/>
        <v>建筑类型</v>
      </c>
      <c r="R33" s="705" t="s">
        <v>14</v>
      </c>
      <c r="S33" s="706">
        <f t="shared" si="12"/>
        <v>100</v>
      </c>
      <c r="T33" s="705" t="s">
        <v>14</v>
      </c>
      <c r="U33" s="706">
        <f t="shared" si="13"/>
        <v>100</v>
      </c>
      <c r="V33" s="705" t="s">
        <v>14</v>
      </c>
      <c r="W33" s="706">
        <f t="shared" si="14"/>
        <v>100</v>
      </c>
      <c r="X33" s="1353"/>
      <c r="Y33" s="3732" t="s">
        <v>1693</v>
      </c>
      <c r="Z33" s="1354" t="str">
        <f t="shared" si="15"/>
        <v>建筑类型</v>
      </c>
      <c r="AA33" s="1351">
        <f t="shared" si="3"/>
        <v>1</v>
      </c>
      <c r="AB33" s="1351">
        <f t="shared" si="4"/>
        <v>1</v>
      </c>
      <c r="AC33" s="1959">
        <f t="shared" si="5"/>
        <v>1</v>
      </c>
    </row>
    <row r="34" spans="1:29" s="422" customFormat="1" ht="15">
      <c r="A34" s="419"/>
      <c r="B34" s="375" t="s">
        <v>1694</v>
      </c>
      <c r="C34" s="420">
        <f>计算过程!L15+计算过程!L16</f>
        <v>14024.56</v>
      </c>
      <c r="D34" s="127">
        <v>100</v>
      </c>
      <c r="E34" s="381">
        <v>230</v>
      </c>
      <c r="F34" s="376">
        <f>LOOKUP(E34,104:104,105:105)-LOOKUP(C34,104:104,105:105)+100</f>
        <v>103</v>
      </c>
      <c r="G34" s="380">
        <v>338</v>
      </c>
      <c r="H34" s="127">
        <f>LOOKUP(G34,104:104,105:105)-LOOKUP(C34,104:104,105:105)+100</f>
        <v>103</v>
      </c>
      <c r="I34" s="380"/>
      <c r="J34" s="127">
        <f>LOOKUP(I34,104:104,105:105)-LOOKUP(C34,104:104,105:105)+100</f>
        <v>103</v>
      </c>
      <c r="K34" s="562"/>
      <c r="L34" s="2717"/>
      <c r="M34" s="2719"/>
      <c r="N34" s="2719"/>
      <c r="O34" s="2719"/>
      <c r="P34" s="3796"/>
      <c r="Q34" s="707" t="str">
        <f t="shared" si="11"/>
        <v>项目建筑规模</v>
      </c>
      <c r="R34" s="708" t="s">
        <v>14</v>
      </c>
      <c r="S34" s="709">
        <f t="shared" si="12"/>
        <v>103</v>
      </c>
      <c r="T34" s="708" t="s">
        <v>14</v>
      </c>
      <c r="U34" s="709">
        <f t="shared" si="13"/>
        <v>103</v>
      </c>
      <c r="V34" s="708" t="s">
        <v>14</v>
      </c>
      <c r="W34" s="709">
        <f t="shared" si="14"/>
        <v>103</v>
      </c>
      <c r="X34" s="710"/>
      <c r="Y34" s="3732"/>
      <c r="Z34" s="711" t="str">
        <f t="shared" si="15"/>
        <v>项目建筑规模</v>
      </c>
      <c r="AA34" s="1351">
        <f t="shared" si="3"/>
        <v>0.970873786407767</v>
      </c>
      <c r="AB34" s="1351">
        <f t="shared" si="4"/>
        <v>0.970873786407767</v>
      </c>
      <c r="AC34" s="1959">
        <f t="shared" si="5"/>
        <v>0.970873786407767</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96"/>
      <c r="Q35" s="1350" t="str">
        <f t="shared" si="11"/>
        <v>建筑结构</v>
      </c>
      <c r="R35" s="705" t="s">
        <v>14</v>
      </c>
      <c r="S35" s="706">
        <f t="shared" si="12"/>
        <v>100</v>
      </c>
      <c r="T35" s="705" t="s">
        <v>14</v>
      </c>
      <c r="U35" s="706">
        <f t="shared" si="13"/>
        <v>100</v>
      </c>
      <c r="V35" s="705" t="s">
        <v>14</v>
      </c>
      <c r="W35" s="706">
        <f t="shared" si="14"/>
        <v>100</v>
      </c>
      <c r="X35" s="1353"/>
      <c r="Y35" s="3732"/>
      <c r="Z35" s="1354" t="str">
        <f t="shared" si="15"/>
        <v>建筑结构</v>
      </c>
      <c r="AA35" s="1351">
        <f t="shared" si="3"/>
        <v>1</v>
      </c>
      <c r="AB35" s="1351">
        <f t="shared" si="4"/>
        <v>1</v>
      </c>
      <c r="AC35" s="1959">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96"/>
      <c r="Q36" s="1350" t="str">
        <f t="shared" si="11"/>
        <v>公共部分装修</v>
      </c>
      <c r="R36" s="705" t="s">
        <v>14</v>
      </c>
      <c r="S36" s="706">
        <f t="shared" si="12"/>
        <v>100</v>
      </c>
      <c r="T36" s="705" t="s">
        <v>14</v>
      </c>
      <c r="U36" s="706">
        <f t="shared" si="13"/>
        <v>100</v>
      </c>
      <c r="V36" s="705" t="s">
        <v>14</v>
      </c>
      <c r="W36" s="706">
        <f t="shared" si="14"/>
        <v>100</v>
      </c>
      <c r="X36" s="1353"/>
      <c r="Y36" s="3732"/>
      <c r="Z36" s="1354" t="str">
        <f t="shared" si="15"/>
        <v>公共部分装修</v>
      </c>
      <c r="AA36" s="1351">
        <f t="shared" si="3"/>
        <v>1</v>
      </c>
      <c r="AB36" s="1351">
        <f t="shared" si="4"/>
        <v>1</v>
      </c>
      <c r="AC36" s="1959">
        <f t="shared" si="5"/>
        <v>1</v>
      </c>
    </row>
    <row r="37" spans="1:29" ht="15">
      <c r="A37" s="423"/>
      <c r="B37" s="375" t="s">
        <v>1783</v>
      </c>
      <c r="C37" s="425">
        <f>'数据-取费表'!N6</f>
        <v>0.98</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c r="L37" s="2718"/>
      <c r="M37" s="2712"/>
      <c r="N37" s="2712"/>
      <c r="O37" s="2712"/>
      <c r="P37" s="3796"/>
      <c r="Q37" s="1350" t="str">
        <f t="shared" si="11"/>
        <v>成新度</v>
      </c>
      <c r="R37" s="705" t="s">
        <v>14</v>
      </c>
      <c r="S37" s="706">
        <f t="shared" si="12"/>
        <v>100</v>
      </c>
      <c r="T37" s="705" t="s">
        <v>14</v>
      </c>
      <c r="U37" s="706">
        <f t="shared" si="13"/>
        <v>100</v>
      </c>
      <c r="V37" s="705" t="s">
        <v>14</v>
      </c>
      <c r="W37" s="706">
        <f t="shared" si="14"/>
        <v>100</v>
      </c>
      <c r="X37" s="1353"/>
      <c r="Y37" s="3732"/>
      <c r="Z37" s="1354" t="str">
        <f t="shared" si="15"/>
        <v>成新度</v>
      </c>
      <c r="AA37" s="1351">
        <f t="shared" si="3"/>
        <v>1</v>
      </c>
      <c r="AB37" s="1351">
        <f t="shared" si="4"/>
        <v>1</v>
      </c>
      <c r="AC37" s="1959">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96"/>
      <c r="Q38" s="1341"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6">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96" t="s">
        <v>1693</v>
      </c>
      <c r="Q39" s="1350" t="str">
        <f t="shared" si="11"/>
        <v>物业管理</v>
      </c>
      <c r="R39" s="705" t="s">
        <v>14</v>
      </c>
      <c r="S39" s="706">
        <f t="shared" si="12"/>
        <v>100</v>
      </c>
      <c r="T39" s="705" t="s">
        <v>14</v>
      </c>
      <c r="U39" s="706">
        <f t="shared" si="13"/>
        <v>100</v>
      </c>
      <c r="V39" s="705" t="s">
        <v>14</v>
      </c>
      <c r="W39" s="706">
        <f t="shared" si="14"/>
        <v>100</v>
      </c>
      <c r="X39" s="1353"/>
      <c r="Y39" s="3732" t="s">
        <v>1693</v>
      </c>
      <c r="Z39" s="1354" t="str">
        <f t="shared" si="15"/>
        <v>物业管理</v>
      </c>
      <c r="AA39" s="1351">
        <f t="shared" si="3"/>
        <v>1</v>
      </c>
      <c r="AB39" s="1351">
        <f t="shared" si="4"/>
        <v>1</v>
      </c>
      <c r="AC39" s="1959">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96"/>
      <c r="Q40" s="1350" t="str">
        <f t="shared" si="11"/>
        <v>市政基础设施</v>
      </c>
      <c r="R40" s="705" t="s">
        <v>14</v>
      </c>
      <c r="S40" s="706">
        <f t="shared" si="12"/>
        <v>100</v>
      </c>
      <c r="T40" s="705" t="s">
        <v>14</v>
      </c>
      <c r="U40" s="706">
        <f t="shared" si="13"/>
        <v>100</v>
      </c>
      <c r="V40" s="705" t="s">
        <v>14</v>
      </c>
      <c r="W40" s="706">
        <f t="shared" si="14"/>
        <v>100</v>
      </c>
      <c r="X40" s="1353"/>
      <c r="Y40" s="3732"/>
      <c r="Z40" s="1354" t="str">
        <f t="shared" si="15"/>
        <v>市政基础设施</v>
      </c>
      <c r="AA40" s="1351">
        <f t="shared" si="3"/>
        <v>1</v>
      </c>
      <c r="AB40" s="1351">
        <f t="shared" si="4"/>
        <v>1</v>
      </c>
      <c r="AC40" s="1959">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96"/>
      <c r="Q41" s="1350" t="str">
        <f t="shared" si="11"/>
        <v>层高</v>
      </c>
      <c r="R41" s="705" t="s">
        <v>14</v>
      </c>
      <c r="S41" s="706">
        <f t="shared" si="12"/>
        <v>100</v>
      </c>
      <c r="T41" s="705" t="s">
        <v>14</v>
      </c>
      <c r="U41" s="706">
        <f t="shared" si="13"/>
        <v>100</v>
      </c>
      <c r="V41" s="705" t="s">
        <v>14</v>
      </c>
      <c r="W41" s="706">
        <f t="shared" si="14"/>
        <v>100</v>
      </c>
      <c r="X41" s="1353"/>
      <c r="Y41" s="3732"/>
      <c r="Z41" s="1354" t="str">
        <f t="shared" si="15"/>
        <v>层高</v>
      </c>
      <c r="AA41" s="1351">
        <f t="shared" si="3"/>
        <v>1</v>
      </c>
      <c r="AB41" s="1351">
        <f t="shared" si="4"/>
        <v>1</v>
      </c>
      <c r="AC41" s="1959">
        <f t="shared" si="5"/>
        <v>1</v>
      </c>
    </row>
    <row r="42" spans="1:29" s="422" customFormat="1" ht="15">
      <c r="A42" s="419"/>
      <c r="B42" s="1352"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96"/>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1">
        <f t="shared" si="3"/>
        <v>1</v>
      </c>
      <c r="AB42" s="1351">
        <f t="shared" si="4"/>
        <v>1</v>
      </c>
      <c r="AC42" s="1959">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96"/>
      <c r="Q43" s="1350" t="str">
        <f t="shared" si="11"/>
        <v>内部装修</v>
      </c>
      <c r="R43" s="705" t="s">
        <v>14</v>
      </c>
      <c r="S43" s="706">
        <f t="shared" si="12"/>
        <v>100</v>
      </c>
      <c r="T43" s="705" t="s">
        <v>14</v>
      </c>
      <c r="U43" s="706">
        <f t="shared" si="13"/>
        <v>100</v>
      </c>
      <c r="V43" s="705" t="s">
        <v>14</v>
      </c>
      <c r="W43" s="706">
        <f t="shared" si="14"/>
        <v>100</v>
      </c>
      <c r="X43" s="1353"/>
      <c r="Y43" s="3732"/>
      <c r="Z43" s="1354" t="str">
        <f t="shared" si="15"/>
        <v>内部装修</v>
      </c>
      <c r="AA43" s="1351">
        <f t="shared" si="3"/>
        <v>1</v>
      </c>
      <c r="AB43" s="1351">
        <f t="shared" si="4"/>
        <v>1</v>
      </c>
      <c r="AC43" s="1959">
        <f t="shared" si="5"/>
        <v>1</v>
      </c>
    </row>
    <row r="44" spans="1:29" ht="15">
      <c r="A44" s="423"/>
      <c r="B44" s="375" t="s">
        <v>1704</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796"/>
      <c r="Q44" s="1350" t="str">
        <f t="shared" si="11"/>
        <v>内部装修维护情况</v>
      </c>
      <c r="R44" s="705" t="s">
        <v>14</v>
      </c>
      <c r="S44" s="706">
        <f t="shared" si="12"/>
        <v>100</v>
      </c>
      <c r="T44" s="705" t="s">
        <v>14</v>
      </c>
      <c r="U44" s="706">
        <f t="shared" si="13"/>
        <v>100</v>
      </c>
      <c r="V44" s="705" t="s">
        <v>14</v>
      </c>
      <c r="W44" s="706">
        <f t="shared" si="14"/>
        <v>100</v>
      </c>
      <c r="X44" s="1353"/>
      <c r="Y44" s="3732"/>
      <c r="Z44" s="1354" t="str">
        <f t="shared" si="15"/>
        <v>内部装修维护情况</v>
      </c>
      <c r="AA44" s="1351">
        <f t="shared" si="3"/>
        <v>1</v>
      </c>
      <c r="AB44" s="1351">
        <f t="shared" si="4"/>
        <v>1</v>
      </c>
      <c r="AC44" s="1959">
        <f t="shared" si="5"/>
        <v>1</v>
      </c>
    </row>
    <row r="45" spans="1:29" s="108" customFormat="1" ht="27">
      <c r="A45" s="424"/>
      <c r="B45" s="1133">
        <v>111</v>
      </c>
      <c r="C45" s="420"/>
      <c r="D45" s="127">
        <v>100</v>
      </c>
      <c r="E45" s="3497" t="s">
        <v>3784</v>
      </c>
      <c r="F45" s="376">
        <f>SUMIF(127:127,E45,128:128)-SUMIF(127:127,C45,128:128)+100</f>
        <v>100</v>
      </c>
      <c r="G45" s="3497" t="s">
        <v>3784</v>
      </c>
      <c r="H45" s="127">
        <f>SUMIF(127:127,G45,128:128)-SUMIF(127:127,C45,128:128)+100</f>
        <v>100</v>
      </c>
      <c r="I45" s="3497" t="s">
        <v>3784</v>
      </c>
      <c r="J45" s="127">
        <f>SUMIF(127:127,I45,128:128)-SUMIF(127:127,C45,128:128)+100</f>
        <v>100</v>
      </c>
      <c r="K45" s="562"/>
      <c r="L45" s="2713"/>
      <c r="M45" s="2714"/>
      <c r="N45" s="2714"/>
      <c r="O45" s="2714"/>
      <c r="P45" s="3796"/>
      <c r="Q45" s="1341">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96"/>
      <c r="Q46" s="1350">
        <f t="shared" si="11"/>
        <v>111</v>
      </c>
      <c r="R46" s="705" t="s">
        <v>14</v>
      </c>
      <c r="S46" s="706">
        <f t="shared" si="12"/>
        <v>100</v>
      </c>
      <c r="T46" s="705" t="s">
        <v>14</v>
      </c>
      <c r="U46" s="706">
        <f t="shared" si="13"/>
        <v>100</v>
      </c>
      <c r="V46" s="705" t="s">
        <v>14</v>
      </c>
      <c r="W46" s="706">
        <f t="shared" si="14"/>
        <v>100</v>
      </c>
      <c r="X46" s="1353"/>
      <c r="Y46" s="3732"/>
      <c r="Z46" s="1354">
        <f t="shared" si="15"/>
        <v>111</v>
      </c>
      <c r="AA46" s="1351">
        <f t="shared" si="3"/>
        <v>1</v>
      </c>
      <c r="AB46" s="1351">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97"/>
      <c r="Q47" s="1350">
        <f t="shared" si="11"/>
        <v>111</v>
      </c>
      <c r="R47" s="705" t="s">
        <v>14</v>
      </c>
      <c r="S47" s="706">
        <f t="shared" si="12"/>
        <v>100</v>
      </c>
      <c r="T47" s="705" t="s">
        <v>14</v>
      </c>
      <c r="U47" s="706">
        <f t="shared" si="13"/>
        <v>100</v>
      </c>
      <c r="V47" s="705" t="s">
        <v>14</v>
      </c>
      <c r="W47" s="706">
        <f t="shared" si="14"/>
        <v>100</v>
      </c>
      <c r="X47" s="1353"/>
      <c r="Y47" s="3798"/>
      <c r="Z47" s="1354">
        <f t="shared" si="15"/>
        <v>111</v>
      </c>
      <c r="AA47" s="1351">
        <f t="shared" si="3"/>
        <v>1</v>
      </c>
      <c r="AB47" s="1351">
        <f t="shared" si="4"/>
        <v>1</v>
      </c>
      <c r="AC47" s="1959">
        <f t="shared" si="5"/>
        <v>1</v>
      </c>
    </row>
    <row r="48" spans="1:29" ht="15">
      <c r="A48" s="430" t="s">
        <v>1705</v>
      </c>
      <c r="B48" s="431"/>
      <c r="C48" s="1154" t="s">
        <v>0</v>
      </c>
      <c r="D48" s="1155"/>
      <c r="E48" s="1156">
        <f>0.74+0.1</f>
        <v>0.84</v>
      </c>
      <c r="F48" s="1157"/>
      <c r="G48" s="1158">
        <f>0.93+0.1</f>
        <v>1.03</v>
      </c>
      <c r="H48" s="1159"/>
      <c r="I48" s="1156">
        <v>1</v>
      </c>
      <c r="J48" s="436"/>
      <c r="K48" s="714"/>
      <c r="L48" s="2720"/>
      <c r="M48" s="2712"/>
      <c r="N48" s="2712"/>
      <c r="O48" s="2712"/>
      <c r="P48" s="3727" t="str">
        <f>A48</f>
        <v>成交单价（元/平方米）</v>
      </c>
      <c r="Q48" s="3728"/>
      <c r="R48" s="3794">
        <f>E48</f>
        <v>0.84</v>
      </c>
      <c r="S48" s="3794"/>
      <c r="T48" s="3794">
        <f>G48</f>
        <v>1.03</v>
      </c>
      <c r="U48" s="3794"/>
      <c r="V48" s="3794">
        <f>I48</f>
        <v>1</v>
      </c>
      <c r="W48" s="3794"/>
      <c r="X48" s="397"/>
      <c r="Y48" s="712"/>
      <c r="Z48" s="397"/>
      <c r="AA48" s="397"/>
      <c r="AB48" s="397"/>
      <c r="AC48" s="578"/>
    </row>
    <row r="49" spans="1:29" ht="15.75" thickBot="1">
      <c r="A49" s="437" t="s">
        <v>1790</v>
      </c>
      <c r="B49" s="438"/>
      <c r="C49" s="1160">
        <f>R50</f>
        <v>0.9</v>
      </c>
      <c r="D49" s="2314" t="s">
        <v>2134</v>
      </c>
      <c r="E49" s="1161">
        <f>R49</f>
        <v>0.8</v>
      </c>
      <c r="F49" s="2315"/>
      <c r="G49" s="1160">
        <f>T49</f>
        <v>1</v>
      </c>
      <c r="H49" s="2315"/>
      <c r="I49" s="1161">
        <f>V49</f>
        <v>1</v>
      </c>
      <c r="J49" s="2315"/>
      <c r="K49" s="2317">
        <f>F49+H49+J49</f>
        <v>0</v>
      </c>
      <c r="L49" s="2720"/>
      <c r="M49" s="2712"/>
      <c r="N49" s="2712"/>
      <c r="O49" s="2712"/>
      <c r="P49" s="3727" t="str">
        <f>A49</f>
        <v>比较价值（元/平方米）</v>
      </c>
      <c r="Q49" s="3728"/>
      <c r="R49" s="3794">
        <f>IF(F1="售价",ROUND(PRODUCT(R48,AA7:AA47),0),ROUND(PRODUCT(R48,AA7:AA47),1))</f>
        <v>0.8</v>
      </c>
      <c r="S49" s="3794"/>
      <c r="T49" s="3794">
        <f>IF(F1="售价",ROUND(PRODUCT(T48,AB7:AB47),0),ROUND(PRODUCT(T48,AB7:AB47),1))</f>
        <v>1</v>
      </c>
      <c r="U49" s="3794"/>
      <c r="V49" s="3794">
        <f>IF(F1="售价",ROUND(PRODUCT(V48,AC7:AC47),0),ROUND(PRODUCT(V48,AC7:AC47),1))</f>
        <v>1</v>
      </c>
      <c r="W49" s="3794"/>
      <c r="X49" s="397"/>
      <c r="Y49" s="397"/>
      <c r="Z49" s="397"/>
      <c r="AA49" s="397"/>
      <c r="AB49" s="397"/>
      <c r="AC49" s="578"/>
    </row>
    <row r="50" spans="1:29" ht="15.75" thickBot="1">
      <c r="A50" s="441" t="s">
        <v>1791</v>
      </c>
      <c r="B50" s="442"/>
      <c r="C50" s="1163">
        <f>R50</f>
        <v>0.9</v>
      </c>
      <c r="D50" s="1163"/>
      <c r="E50" s="1163"/>
      <c r="F50" s="1163"/>
      <c r="G50" s="1163"/>
      <c r="H50" s="1163"/>
      <c r="I50" s="1163"/>
      <c r="J50" s="443"/>
      <c r="K50" s="715"/>
      <c r="L50" s="2720"/>
      <c r="M50" s="2712"/>
      <c r="N50" s="2712"/>
      <c r="O50" s="2712"/>
      <c r="P50" s="3804" t="str">
        <f>A50</f>
        <v>估价对象XX用房的比较价值（楼面单价，元/平方米）</v>
      </c>
      <c r="Q50" s="3805"/>
      <c r="R50" s="3806">
        <f>IF(F1="售价",ROUND(IF(D49="简单平均",AVERAGE(R49:V49),R49*F49+T49*H49+V49*J49),0),ROUND(IF(D49="简单平均",AVERAGE(R49:V49),R49*F49+T49*H49+V49*J49),1))</f>
        <v>0.9</v>
      </c>
      <c r="S50" s="3806"/>
      <c r="T50" s="3806"/>
      <c r="U50" s="3806"/>
      <c r="V50" s="3806"/>
      <c r="W50" s="3806"/>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f>IF(E48&lt;E49,E49/E48-1,E48/E49-1)</f>
        <v>4.9999999999999822E-2</v>
      </c>
      <c r="F53" s="449" t="str">
        <f>IF(OR(E53&gt;=0.3,E53&lt;=-0.3),"超过30%","")</f>
        <v/>
      </c>
      <c r="G53" s="448">
        <f>IF(G48&lt;G49,G49/G48-1,G48/G49-1)</f>
        <v>3.0000000000000027E-2</v>
      </c>
      <c r="H53" s="449" t="str">
        <f>IF(OR(G53&gt;=0.3,G53&lt;=-0.3),"超过30%","")</f>
        <v/>
      </c>
      <c r="I53" s="448">
        <f>IF(I48&lt;I49,I49/I48-1,I48/I49-1)</f>
        <v>0</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f>IF(E49&lt;G49,G49/E49-1,E49/G49-1)</f>
        <v>0.25</v>
      </c>
      <c r="F54" s="449" t="str">
        <f>IF(OR(E54&gt;=0.2,E54&lt;=-0.2),"超过20%","")</f>
        <v>超过20%</v>
      </c>
      <c r="G54" s="448">
        <f>IF(G49&lt;I49,I49/G49-1,G49/I49-1)</f>
        <v>0</v>
      </c>
      <c r="H54" s="449" t="str">
        <f>IF(OR(G54&gt;=0.2,G54&lt;=-0.2),"超过20%","")</f>
        <v/>
      </c>
      <c r="I54" s="448">
        <f>IF(I49&lt;E49,E49/I49-1,I49/E49-1)</f>
        <v>0.25</v>
      </c>
      <c r="J54" s="449" t="str">
        <f>IF(OR(I54&gt;=0.2,I54&lt;=-0.2),"超过20%","")</f>
        <v>超过20%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f>IF(E48&lt;G48,G48/E48-1,E48/G48-1)</f>
        <v>0.22619047619047628</v>
      </c>
      <c r="F55" s="449" t="str">
        <f>IF(OR(E55&gt;=0.3,E55&lt;=-0.3),"超过30%","")</f>
        <v/>
      </c>
      <c r="G55" s="448">
        <f>IF(G48&lt;I48,I48/G48-1,G48/I48-1)</f>
        <v>3.0000000000000027E-2</v>
      </c>
      <c r="H55" s="449" t="str">
        <f>IF(OR(G55&gt;=0.3,G55&lt;=-0.3),"超过30%","")</f>
        <v/>
      </c>
      <c r="I55" s="448">
        <f>IF(I48&lt;E48,E48/I48-1,I48/E48-1)</f>
        <v>0.19047619047619047</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1795</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3" t="str">
        <f>YEAR(C7)&amp;"-"&amp;MONTH(C7)</f>
        <v>2024-9</v>
      </c>
      <c r="D59" s="1184">
        <f>EDATE(C59,-1)</f>
        <v>45505</v>
      </c>
      <c r="E59" s="1184">
        <f>EDATE(D59,-1)</f>
        <v>45474</v>
      </c>
      <c r="F59" s="1184">
        <f t="shared" ref="F59:O59" si="16">EDATE(E59,-1)</f>
        <v>45444</v>
      </c>
      <c r="G59" s="1184">
        <f t="shared" si="16"/>
        <v>45413</v>
      </c>
      <c r="H59" s="1184">
        <f t="shared" si="16"/>
        <v>45383</v>
      </c>
      <c r="I59" s="1184">
        <f t="shared" si="16"/>
        <v>45352</v>
      </c>
      <c r="J59" s="1184">
        <f t="shared" si="16"/>
        <v>45323</v>
      </c>
      <c r="K59" s="1184">
        <f t="shared" si="16"/>
        <v>45292</v>
      </c>
      <c r="L59" s="1184">
        <f t="shared" si="16"/>
        <v>45261</v>
      </c>
      <c r="M59" s="1184">
        <f t="shared" si="16"/>
        <v>45231</v>
      </c>
      <c r="N59" s="1184">
        <f t="shared" si="16"/>
        <v>45200</v>
      </c>
      <c r="O59" s="1184">
        <f t="shared" si="16"/>
        <v>45170</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3494" t="s">
        <v>3752</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8" t="s">
        <v>1796</v>
      </c>
      <c r="D83" s="608" t="s">
        <v>1797</v>
      </c>
      <c r="E83" s="608" t="s">
        <v>1798</v>
      </c>
      <c r="F83" s="608" t="s">
        <v>1799</v>
      </c>
      <c r="G83" s="608" t="s">
        <v>1800</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0(含)-500</v>
      </c>
      <c r="D103" s="527" t="str">
        <f t="shared" ref="D103:L103" si="23">D104&amp;"(含)"&amp;"-"&amp;E104</f>
        <v>500(含)-1000</v>
      </c>
      <c r="E103" s="527" t="str">
        <f t="shared" si="23"/>
        <v>1000(含)-10000</v>
      </c>
      <c r="F103" s="527" t="str">
        <f t="shared" si="23"/>
        <v>10000(含)-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500</v>
      </c>
      <c r="E104" s="544">
        <v>1000</v>
      </c>
      <c r="F104" s="544">
        <v>10000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v>99</v>
      </c>
      <c r="E105" s="485">
        <v>98</v>
      </c>
      <c r="F105" s="485">
        <v>97</v>
      </c>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1822</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62" priority="20" stopIfTrue="1" operator="containsText" text="超过">
      <formula>NOT(ISERROR(SEARCH("超过",F53)))</formula>
    </cfRule>
  </conditionalFormatting>
  <conditionalFormatting sqref="H55">
    <cfRule type="containsText" dxfId="61" priority="19" stopIfTrue="1" operator="containsText" text="超过">
      <formula>NOT(ISERROR(SEARCH("超过",H55)))</formula>
    </cfRule>
  </conditionalFormatting>
  <conditionalFormatting sqref="F55">
    <cfRule type="containsText" dxfId="60" priority="18" stopIfTrue="1" operator="containsText" text="超过">
      <formula>NOT(ISERROR(SEARCH("超过",F55)))</formula>
    </cfRule>
  </conditionalFormatting>
  <conditionalFormatting sqref="F54 H54">
    <cfRule type="containsText" dxfId="59" priority="17" stopIfTrue="1" operator="containsText" text="超过">
      <formula>NOT(ISERROR(SEARCH("超过",F54)))</formula>
    </cfRule>
  </conditionalFormatting>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G55">
    <cfRule type="expression" dxfId="55" priority="13" stopIfTrue="1">
      <formula>$H$55="超过30%"</formula>
    </cfRule>
  </conditionalFormatting>
  <conditionalFormatting sqref="G53">
    <cfRule type="expression" dxfId="54" priority="12" stopIfTrue="1">
      <formula>$H$53="超过30%"</formula>
    </cfRule>
  </conditionalFormatting>
  <conditionalFormatting sqref="G54">
    <cfRule type="expression" dxfId="53" priority="11" stopIfTrue="1">
      <formula>$H$54="超过20%"</formula>
    </cfRule>
  </conditionalFormatting>
  <conditionalFormatting sqref="J53">
    <cfRule type="containsText" dxfId="52" priority="10" stopIfTrue="1" operator="containsText" text="超过">
      <formula>NOT(ISERROR(SEARCH("超过",J53)))</formula>
    </cfRule>
  </conditionalFormatting>
  <conditionalFormatting sqref="J55">
    <cfRule type="containsText" dxfId="51" priority="9" stopIfTrue="1" operator="containsText" text="超过">
      <formula>NOT(ISERROR(SEARCH("超过",J55)))</formula>
    </cfRule>
  </conditionalFormatting>
  <conditionalFormatting sqref="J54">
    <cfRule type="containsText" dxfId="50" priority="8" stopIfTrue="1" operator="containsText" text="超过">
      <formula>NOT(ISERROR(SEARCH("超过",J54)))</formula>
    </cfRule>
  </conditionalFormatting>
  <conditionalFormatting sqref="I53">
    <cfRule type="expression" dxfId="49" priority="7" stopIfTrue="1">
      <formula>$J$53="超过30%"</formula>
    </cfRule>
  </conditionalFormatting>
  <conditionalFormatting sqref="I54">
    <cfRule type="expression" dxfId="48" priority="6" stopIfTrue="1">
      <formula>$J$53+$J$54="超过20%"</formula>
    </cfRule>
  </conditionalFormatting>
  <conditionalFormatting sqref="I55">
    <cfRule type="expression" dxfId="47" priority="5" stopIfTrue="1">
      <formula>$J$55="超过30%"</formula>
    </cfRule>
  </conditionalFormatting>
  <conditionalFormatting sqref="F49">
    <cfRule type="expression" dxfId="46" priority="4">
      <formula>$D$49="简单平均"</formula>
    </cfRule>
  </conditionalFormatting>
  <conditionalFormatting sqref="H49">
    <cfRule type="expression" dxfId="45" priority="3">
      <formula>$D$49="简单平均"</formula>
    </cfRule>
  </conditionalFormatting>
  <conditionalFormatting sqref="J49">
    <cfRule type="expression" dxfId="44" priority="2">
      <formula>$D$49="简单平均"</formula>
    </cfRule>
  </conditionalFormatting>
  <conditionalFormatting sqref="F7:F47 H7:H47 J7:J47">
    <cfRule type="cellIs" dxfId="4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3331</v>
      </c>
      <c r="C1" s="1223" t="s">
        <v>1659</v>
      </c>
      <c r="D1" s="1224"/>
      <c r="E1" s="3429"/>
      <c r="F1" s="1876"/>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1766</v>
      </c>
      <c r="B4" s="356"/>
      <c r="C4" s="3725" t="s">
        <v>1767</v>
      </c>
      <c r="D4" s="3737"/>
      <c r="E4" s="3738" t="s">
        <v>1768</v>
      </c>
      <c r="F4" s="3739"/>
      <c r="G4" s="3725" t="s">
        <v>1769</v>
      </c>
      <c r="H4" s="3737"/>
      <c r="I4" s="3725" t="s">
        <v>1770</v>
      </c>
      <c r="J4" s="3737"/>
      <c r="K4" s="559" t="s">
        <v>1771</v>
      </c>
      <c r="L4" s="2711"/>
      <c r="M4" s="2712"/>
      <c r="N4" s="2712"/>
      <c r="O4" s="2712"/>
      <c r="P4" s="3740" t="s">
        <v>1772</v>
      </c>
      <c r="Q4" s="3741"/>
      <c r="R4" s="3746" t="s">
        <v>1768</v>
      </c>
      <c r="S4" s="3747"/>
      <c r="T4" s="3746" t="s">
        <v>1769</v>
      </c>
      <c r="U4" s="3747"/>
      <c r="V4" s="3733" t="s">
        <v>1770</v>
      </c>
      <c r="W4" s="3733"/>
      <c r="X4" s="1353"/>
      <c r="Y4" s="3746" t="s">
        <v>1772</v>
      </c>
      <c r="Z4" s="3747"/>
      <c r="AA4" s="3734" t="s">
        <v>1768</v>
      </c>
      <c r="AB4" s="3735" t="s">
        <v>1769</v>
      </c>
      <c r="AC4" s="3734" t="s">
        <v>1770</v>
      </c>
    </row>
    <row r="5" spans="1:29" ht="15">
      <c r="A5" s="358"/>
      <c r="B5" s="359"/>
      <c r="C5" s="3754" t="s">
        <v>1670</v>
      </c>
      <c r="D5" s="3755"/>
      <c r="E5" s="3761" t="s">
        <v>1671</v>
      </c>
      <c r="F5" s="3762"/>
      <c r="G5" s="3754" t="s">
        <v>1672</v>
      </c>
      <c r="H5" s="3755"/>
      <c r="I5" s="3754" t="s">
        <v>1673</v>
      </c>
      <c r="J5" s="3755"/>
      <c r="K5" s="559"/>
      <c r="L5" s="2711"/>
      <c r="M5" s="2712"/>
      <c r="N5" s="2712"/>
      <c r="O5" s="2712"/>
      <c r="P5" s="3742"/>
      <c r="Q5" s="3743"/>
      <c r="R5" s="3748"/>
      <c r="S5" s="3749"/>
      <c r="T5" s="3748"/>
      <c r="U5" s="3749"/>
      <c r="V5" s="3733"/>
      <c r="W5" s="3733"/>
      <c r="X5" s="1353"/>
      <c r="Y5" s="3748"/>
      <c r="Z5" s="3749"/>
      <c r="AA5" s="3735"/>
      <c r="AB5" s="3735"/>
      <c r="AC5" s="3735"/>
    </row>
    <row r="6" spans="1:29" ht="15.75" thickBot="1">
      <c r="A6" s="360"/>
      <c r="B6" s="361"/>
      <c r="C6" s="3752" t="s">
        <v>1674</v>
      </c>
      <c r="D6" s="3753"/>
      <c r="E6" s="3759" t="s">
        <v>1674</v>
      </c>
      <c r="F6" s="3760"/>
      <c r="G6" s="3752" t="s">
        <v>1674</v>
      </c>
      <c r="H6" s="3753"/>
      <c r="I6" s="3752" t="s">
        <v>1674</v>
      </c>
      <c r="J6" s="3753"/>
      <c r="K6" s="559" t="s">
        <v>1675</v>
      </c>
      <c r="L6" s="2711"/>
      <c r="M6" s="2712"/>
      <c r="N6" s="2712"/>
      <c r="O6" s="2712"/>
      <c r="P6" s="3744"/>
      <c r="Q6" s="3745"/>
      <c r="R6" s="3748"/>
      <c r="S6" s="3749"/>
      <c r="T6" s="3750"/>
      <c r="U6" s="3751"/>
      <c r="V6" s="3733"/>
      <c r="W6" s="3733"/>
      <c r="X6" s="1353"/>
      <c r="Y6" s="3750"/>
      <c r="Z6" s="3751"/>
      <c r="AA6" s="3736"/>
      <c r="AB6" s="3736"/>
      <c r="AC6" s="3736"/>
    </row>
    <row r="7" spans="1:29" s="108" customFormat="1" ht="15.75" thickBot="1">
      <c r="A7" s="362" t="s">
        <v>1676</v>
      </c>
      <c r="B7" s="363"/>
      <c r="C7" s="364">
        <f>'数据-取费表'!B2</f>
        <v>45540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6" t="s">
        <v>1677</v>
      </c>
      <c r="Q7" s="3758"/>
      <c r="R7" s="701" t="s">
        <v>14</v>
      </c>
      <c r="S7" s="702">
        <f t="shared" ref="S7:S14" si="0">F7</f>
        <v>0</v>
      </c>
      <c r="T7" s="701" t="s">
        <v>14</v>
      </c>
      <c r="U7" s="702">
        <f t="shared" ref="U7:U14" si="1">H7</f>
        <v>0</v>
      </c>
      <c r="V7" s="701" t="s">
        <v>14</v>
      </c>
      <c r="W7" s="702">
        <f t="shared" ref="W7:W14" si="2">J7</f>
        <v>0</v>
      </c>
      <c r="X7" s="703"/>
      <c r="Y7" s="3756" t="s">
        <v>1677</v>
      </c>
      <c r="Z7" s="3757"/>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6" t="s">
        <v>1680</v>
      </c>
      <c r="Q8" s="3757"/>
      <c r="R8" s="701" t="s">
        <v>14</v>
      </c>
      <c r="S8" s="702">
        <f t="shared" si="0"/>
        <v>100</v>
      </c>
      <c r="T8" s="701" t="s">
        <v>14</v>
      </c>
      <c r="U8" s="702">
        <f t="shared" si="1"/>
        <v>100</v>
      </c>
      <c r="V8" s="701" t="s">
        <v>14</v>
      </c>
      <c r="W8" s="702">
        <f t="shared" si="2"/>
        <v>100</v>
      </c>
      <c r="X8" s="703"/>
      <c r="Y8" s="3756" t="s">
        <v>1680</v>
      </c>
      <c r="Z8" s="3757"/>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28" t="s">
        <v>1683</v>
      </c>
      <c r="Q9" s="1341" t="str">
        <f t="shared" ref="Q9:Q14" si="6">B9</f>
        <v>用途</v>
      </c>
      <c r="R9" s="701" t="s">
        <v>14</v>
      </c>
      <c r="S9" s="702">
        <f t="shared" si="0"/>
        <v>100</v>
      </c>
      <c r="T9" s="701" t="s">
        <v>14</v>
      </c>
      <c r="U9" s="702">
        <f t="shared" si="1"/>
        <v>100</v>
      </c>
      <c r="V9" s="701" t="s">
        <v>14</v>
      </c>
      <c r="W9" s="702">
        <f t="shared" si="2"/>
        <v>100</v>
      </c>
      <c r="X9" s="703"/>
      <c r="Y9" s="3625" t="s">
        <v>1684</v>
      </c>
      <c r="Z9" s="52" t="str">
        <f t="shared" ref="Z9:Z14" si="7">Q9</f>
        <v>用途</v>
      </c>
      <c r="AA9" s="704">
        <f t="shared" si="3"/>
        <v>1</v>
      </c>
      <c r="AB9" s="704">
        <f t="shared" si="4"/>
        <v>1</v>
      </c>
      <c r="AC9" s="704">
        <f t="shared" si="5"/>
        <v>1</v>
      </c>
    </row>
    <row r="10" spans="1:29" s="378" customFormat="1" ht="27">
      <c r="A10" s="589"/>
      <c r="B10" s="590" t="s">
        <v>1685</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28"/>
      <c r="Q10" s="1341"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28"/>
      <c r="Q11" s="1341">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28"/>
      <c r="Q12" s="1341">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28"/>
      <c r="Q13" s="1341">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1687</v>
      </c>
      <c r="B14" s="577" t="s">
        <v>1830</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9" t="s">
        <v>1688</v>
      </c>
      <c r="Q14" s="1350" t="str">
        <f t="shared" si="6"/>
        <v>交通便捷度</v>
      </c>
      <c r="R14" s="705" t="s">
        <v>14</v>
      </c>
      <c r="S14" s="706">
        <f t="shared" si="0"/>
        <v>100</v>
      </c>
      <c r="T14" s="705" t="s">
        <v>14</v>
      </c>
      <c r="U14" s="706">
        <f t="shared" si="1"/>
        <v>100</v>
      </c>
      <c r="V14" s="705" t="s">
        <v>14</v>
      </c>
      <c r="W14" s="706">
        <f t="shared" si="2"/>
        <v>100</v>
      </c>
      <c r="X14" s="1353"/>
      <c r="Y14" s="3729" t="s">
        <v>1688</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8"/>
      <c r="M15" s="2712"/>
      <c r="N15" s="2712"/>
      <c r="O15" s="2712"/>
      <c r="P15" s="3730"/>
      <c r="Q15" s="1350"/>
      <c r="R15" s="705"/>
      <c r="S15" s="706"/>
      <c r="T15" s="705"/>
      <c r="U15" s="706"/>
      <c r="V15" s="705"/>
      <c r="W15" s="706"/>
      <c r="X15" s="1353"/>
      <c r="Y15" s="3730"/>
      <c r="Z15" s="1354"/>
      <c r="AA15" s="1351">
        <v>1</v>
      </c>
      <c r="AB15" s="1351">
        <v>1</v>
      </c>
      <c r="AC15" s="1351">
        <v>1</v>
      </c>
    </row>
    <row r="16" spans="1:29" ht="42.75">
      <c r="A16" s="358"/>
      <c r="B16" s="579" t="s">
        <v>1809</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0"/>
      <c r="Q16" s="1350" t="str">
        <f>B16</f>
        <v>公共配套设施</v>
      </c>
      <c r="R16" s="705" t="s">
        <v>14</v>
      </c>
      <c r="S16" s="706">
        <f>F16</f>
        <v>100</v>
      </c>
      <c r="T16" s="705" t="s">
        <v>14</v>
      </c>
      <c r="U16" s="706">
        <f>H16</f>
        <v>100</v>
      </c>
      <c r="V16" s="705" t="s">
        <v>14</v>
      </c>
      <c r="W16" s="706">
        <f>J16</f>
        <v>100</v>
      </c>
      <c r="X16" s="1353"/>
      <c r="Y16" s="3730"/>
      <c r="Z16" s="1354" t="str">
        <f>Q16</f>
        <v>公共配套设施</v>
      </c>
      <c r="AA16" s="1351">
        <f t="shared" si="3"/>
        <v>1</v>
      </c>
      <c r="AB16" s="1351">
        <f t="shared" si="4"/>
        <v>1</v>
      </c>
      <c r="AC16" s="1351">
        <f t="shared" si="5"/>
        <v>1</v>
      </c>
    </row>
    <row r="17" spans="1:29" ht="15">
      <c r="A17" s="358"/>
      <c r="B17" s="580"/>
      <c r="C17" s="1898"/>
      <c r="D17" s="399"/>
      <c r="E17" s="398"/>
      <c r="F17" s="400"/>
      <c r="G17" s="398"/>
      <c r="H17" s="399"/>
      <c r="I17" s="398"/>
      <c r="J17" s="399"/>
      <c r="K17" s="564"/>
      <c r="L17" s="2718"/>
      <c r="M17" s="2712"/>
      <c r="N17" s="2712"/>
      <c r="O17" s="2712"/>
      <c r="P17" s="3730"/>
      <c r="Q17" s="1350"/>
      <c r="R17" s="705"/>
      <c r="S17" s="706"/>
      <c r="T17" s="705"/>
      <c r="U17" s="706"/>
      <c r="V17" s="705"/>
      <c r="W17" s="706"/>
      <c r="X17" s="1353"/>
      <c r="Y17" s="3730"/>
      <c r="Z17" s="1354"/>
      <c r="AA17" s="1351">
        <v>1</v>
      </c>
      <c r="AB17" s="1351">
        <v>1</v>
      </c>
      <c r="AC17" s="1351">
        <v>1</v>
      </c>
    </row>
    <row r="18" spans="1:29" ht="28.5">
      <c r="A18" s="358"/>
      <c r="B18" s="581" t="s">
        <v>1810</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0"/>
      <c r="Q18" s="1350" t="str">
        <f>B18</f>
        <v>基础设施水平</v>
      </c>
      <c r="R18" s="705" t="s">
        <v>14</v>
      </c>
      <c r="S18" s="706">
        <f>F18</f>
        <v>100</v>
      </c>
      <c r="T18" s="705" t="s">
        <v>14</v>
      </c>
      <c r="U18" s="706">
        <f>H18</f>
        <v>100</v>
      </c>
      <c r="V18" s="705" t="s">
        <v>14</v>
      </c>
      <c r="W18" s="706">
        <f>J18</f>
        <v>100</v>
      </c>
      <c r="X18" s="1353"/>
      <c r="Y18" s="3730"/>
      <c r="Z18" s="1354" t="str">
        <f>Q18</f>
        <v>基础设施水平</v>
      </c>
      <c r="AA18" s="1351">
        <f t="shared" ref="AA18" si="8">D18/F18</f>
        <v>1</v>
      </c>
      <c r="AB18" s="1351">
        <f t="shared" ref="AB18" si="9">D18/H18</f>
        <v>1</v>
      </c>
      <c r="AC18" s="1351">
        <f t="shared" ref="AC18" si="10">D18/J18</f>
        <v>1</v>
      </c>
    </row>
    <row r="19" spans="1:29" ht="15">
      <c r="A19" s="358"/>
      <c r="B19" s="581"/>
      <c r="C19" s="1898"/>
      <c r="D19" s="401"/>
      <c r="E19" s="1898"/>
      <c r="F19" s="404"/>
      <c r="G19" s="1898"/>
      <c r="H19" s="399"/>
      <c r="I19" s="398"/>
      <c r="J19" s="399"/>
      <c r="K19" s="1130"/>
      <c r="L19" s="2718"/>
      <c r="M19" s="2712"/>
      <c r="N19" s="2712"/>
      <c r="O19" s="2712"/>
      <c r="P19" s="3730"/>
      <c r="Q19" s="1350"/>
      <c r="R19" s="705"/>
      <c r="S19" s="706"/>
      <c r="T19" s="705"/>
      <c r="U19" s="706"/>
      <c r="V19" s="705"/>
      <c r="W19" s="706"/>
      <c r="X19" s="1353"/>
      <c r="Y19" s="3730"/>
      <c r="Z19" s="1354"/>
      <c r="AA19" s="1351">
        <v>1</v>
      </c>
      <c r="AB19" s="1351">
        <v>1</v>
      </c>
      <c r="AC19" s="1351">
        <v>1</v>
      </c>
    </row>
    <row r="20" spans="1:29" ht="57">
      <c r="A20" s="358"/>
      <c r="B20" s="579" t="s">
        <v>1831</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0"/>
      <c r="Q20" s="1350" t="str">
        <f>B20</f>
        <v>自然及人文环境</v>
      </c>
      <c r="R20" s="705" t="s">
        <v>14</v>
      </c>
      <c r="S20" s="706">
        <f>F20</f>
        <v>100</v>
      </c>
      <c r="T20" s="705" t="s">
        <v>14</v>
      </c>
      <c r="U20" s="706">
        <f>H20</f>
        <v>100</v>
      </c>
      <c r="V20" s="705" t="s">
        <v>14</v>
      </c>
      <c r="W20" s="706">
        <f>J20</f>
        <v>100</v>
      </c>
      <c r="X20" s="1353"/>
      <c r="Y20" s="373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8"/>
      <c r="M21" s="2712"/>
      <c r="N21" s="2712"/>
      <c r="O21" s="2712"/>
      <c r="P21" s="3730"/>
      <c r="Q21" s="1350"/>
      <c r="R21" s="705"/>
      <c r="S21" s="706"/>
      <c r="T21" s="705"/>
      <c r="U21" s="706"/>
      <c r="V21" s="705"/>
      <c r="W21" s="706"/>
      <c r="X21" s="1353"/>
      <c r="Y21" s="3730"/>
      <c r="Z21" s="1354"/>
      <c r="AA21" s="1351">
        <v>1</v>
      </c>
      <c r="AB21" s="1351">
        <v>1</v>
      </c>
      <c r="AC21" s="1351">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0"/>
      <c r="Q22" s="1350" t="str">
        <f>B22</f>
        <v>楼层</v>
      </c>
      <c r="R22" s="705" t="s">
        <v>14</v>
      </c>
      <c r="S22" s="706">
        <f>F22</f>
        <v>100</v>
      </c>
      <c r="T22" s="705" t="s">
        <v>14</v>
      </c>
      <c r="U22" s="706">
        <f>H22</f>
        <v>100</v>
      </c>
      <c r="V22" s="705" t="s">
        <v>14</v>
      </c>
      <c r="W22" s="706">
        <f>J22</f>
        <v>100</v>
      </c>
      <c r="X22" s="1353"/>
      <c r="Y22" s="373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0"/>
      <c r="Q23" s="1350">
        <f>B23</f>
        <v>111</v>
      </c>
      <c r="R23" s="705" t="s">
        <v>14</v>
      </c>
      <c r="S23" s="706">
        <f>F23</f>
        <v>100</v>
      </c>
      <c r="T23" s="705" t="s">
        <v>14</v>
      </c>
      <c r="U23" s="706">
        <f>H23</f>
        <v>100</v>
      </c>
      <c r="V23" s="705" t="s">
        <v>14</v>
      </c>
      <c r="W23" s="706">
        <f>J23</f>
        <v>100</v>
      </c>
      <c r="X23" s="1353"/>
      <c r="Y23" s="373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0"/>
      <c r="Q24" s="1350">
        <f t="shared" ref="Q24:Q36" si="11">B24</f>
        <v>111</v>
      </c>
      <c r="R24" s="705" t="s">
        <v>14</v>
      </c>
      <c r="S24" s="706">
        <f>F24</f>
        <v>100</v>
      </c>
      <c r="T24" s="705" t="s">
        <v>14</v>
      </c>
      <c r="U24" s="706">
        <f>H24</f>
        <v>100</v>
      </c>
      <c r="V24" s="705" t="s">
        <v>14</v>
      </c>
      <c r="W24" s="706">
        <f>J24</f>
        <v>100</v>
      </c>
      <c r="X24" s="1353"/>
      <c r="Y24" s="373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0"/>
      <c r="Q25" s="1341">
        <f t="shared" si="11"/>
        <v>111</v>
      </c>
      <c r="R25" s="701" t="s">
        <v>14</v>
      </c>
      <c r="S25" s="702">
        <f>F25</f>
        <v>100</v>
      </c>
      <c r="T25" s="701" t="s">
        <v>14</v>
      </c>
      <c r="U25" s="702">
        <f>H25</f>
        <v>100</v>
      </c>
      <c r="V25" s="701" t="s">
        <v>14</v>
      </c>
      <c r="W25" s="702">
        <f>J25</f>
        <v>100</v>
      </c>
      <c r="X25" s="703"/>
      <c r="Y25" s="3730"/>
      <c r="Z25" s="52">
        <f>Q25</f>
        <v>111</v>
      </c>
      <c r="AA25" s="1351">
        <f>D25/F25</f>
        <v>1</v>
      </c>
      <c r="AB25" s="1351">
        <f>D25/H25</f>
        <v>1</v>
      </c>
      <c r="AC25" s="1351">
        <f>D25/J25</f>
        <v>1</v>
      </c>
    </row>
    <row r="26" spans="1:29" ht="28.5">
      <c r="A26" s="600" t="s">
        <v>1691</v>
      </c>
      <c r="B26" s="62" t="s">
        <v>1833</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31" t="s">
        <v>1693</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32" t="s">
        <v>1693</v>
      </c>
      <c r="Z26" s="1354" t="str">
        <f t="shared" ref="Z26:Z36" si="15">Q26</f>
        <v>配套类型</v>
      </c>
      <c r="AA26" s="1351" t="e">
        <f t="shared" si="3"/>
        <v>#DIV/0!</v>
      </c>
      <c r="AB26" s="1351" t="e">
        <f t="shared" si="4"/>
        <v>#DIV/0!</v>
      </c>
      <c r="AC26" s="1351"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1">
        <f t="shared" si="3"/>
        <v>1</v>
      </c>
      <c r="AB27" s="1351">
        <f t="shared" si="4"/>
        <v>1</v>
      </c>
      <c r="AC27" s="1351">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2"/>
      <c r="Q28" s="1350" t="str">
        <f t="shared" si="11"/>
        <v>公共部分装修</v>
      </c>
      <c r="R28" s="705" t="s">
        <v>14</v>
      </c>
      <c r="S28" s="706">
        <f t="shared" si="12"/>
        <v>100</v>
      </c>
      <c r="T28" s="705" t="s">
        <v>14</v>
      </c>
      <c r="U28" s="706">
        <f t="shared" si="13"/>
        <v>100</v>
      </c>
      <c r="V28" s="705" t="s">
        <v>14</v>
      </c>
      <c r="W28" s="706">
        <f t="shared" si="14"/>
        <v>100</v>
      </c>
      <c r="X28" s="1353"/>
      <c r="Y28" s="3732"/>
      <c r="Z28" s="1354" t="str">
        <f t="shared" si="15"/>
        <v>公共部分装修</v>
      </c>
      <c r="AA28" s="1351">
        <f t="shared" si="3"/>
        <v>1</v>
      </c>
      <c r="AB28" s="1351">
        <f t="shared" si="4"/>
        <v>1</v>
      </c>
      <c r="AC28" s="1351">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32"/>
      <c r="Q29" s="1350" t="str">
        <f t="shared" si="11"/>
        <v>成新率</v>
      </c>
      <c r="R29" s="705" t="s">
        <v>14</v>
      </c>
      <c r="S29" s="706" t="e">
        <f t="shared" si="12"/>
        <v>#N/A</v>
      </c>
      <c r="T29" s="705" t="s">
        <v>14</v>
      </c>
      <c r="U29" s="706" t="e">
        <f t="shared" si="13"/>
        <v>#N/A</v>
      </c>
      <c r="V29" s="705" t="s">
        <v>14</v>
      </c>
      <c r="W29" s="706" t="e">
        <f t="shared" si="14"/>
        <v>#N/A</v>
      </c>
      <c r="X29" s="1353"/>
      <c r="Y29" s="3732"/>
      <c r="Z29" s="1354" t="str">
        <f t="shared" si="15"/>
        <v>成新率</v>
      </c>
      <c r="AA29" s="1351" t="e">
        <f t="shared" si="3"/>
        <v>#N/A</v>
      </c>
      <c r="AB29" s="1351" t="e">
        <f t="shared" si="4"/>
        <v>#N/A</v>
      </c>
      <c r="AC29" s="1351"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2"/>
      <c r="Q30" s="1350" t="str">
        <f t="shared" si="11"/>
        <v>物业等级</v>
      </c>
      <c r="R30" s="705" t="s">
        <v>14</v>
      </c>
      <c r="S30" s="706">
        <f t="shared" si="12"/>
        <v>100</v>
      </c>
      <c r="T30" s="705" t="s">
        <v>14</v>
      </c>
      <c r="U30" s="706">
        <f t="shared" si="13"/>
        <v>100</v>
      </c>
      <c r="V30" s="705" t="s">
        <v>14</v>
      </c>
      <c r="W30" s="706">
        <f t="shared" si="14"/>
        <v>100</v>
      </c>
      <c r="X30" s="1353"/>
      <c r="Y30" s="3732"/>
      <c r="Z30" s="1354" t="str">
        <f t="shared" si="15"/>
        <v>物业等级</v>
      </c>
      <c r="AA30" s="1351">
        <f t="shared" si="3"/>
        <v>1</v>
      </c>
      <c r="AB30" s="1351">
        <f t="shared" si="4"/>
        <v>1</v>
      </c>
      <c r="AC30" s="1351">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32"/>
      <c r="Q31" s="1341"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2" t="s">
        <v>1693</v>
      </c>
      <c r="Q32" s="1350" t="str">
        <f t="shared" si="11"/>
        <v>车位类型</v>
      </c>
      <c r="R32" s="705" t="s">
        <v>14</v>
      </c>
      <c r="S32" s="706">
        <f t="shared" si="12"/>
        <v>100</v>
      </c>
      <c r="T32" s="705" t="s">
        <v>14</v>
      </c>
      <c r="U32" s="706">
        <f t="shared" si="13"/>
        <v>100</v>
      </c>
      <c r="V32" s="705" t="s">
        <v>14</v>
      </c>
      <c r="W32" s="706">
        <f t="shared" si="14"/>
        <v>100</v>
      </c>
      <c r="X32" s="1353"/>
      <c r="Y32" s="3732" t="s">
        <v>1693</v>
      </c>
      <c r="Z32" s="1354" t="str">
        <f t="shared" si="15"/>
        <v>车位类型</v>
      </c>
      <c r="AA32" s="1351">
        <f t="shared" si="3"/>
        <v>1</v>
      </c>
      <c r="AB32" s="1351">
        <f t="shared" si="4"/>
        <v>1</v>
      </c>
      <c r="AC32" s="1351">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2"/>
      <c r="Q33" s="1350" t="str">
        <f t="shared" si="11"/>
        <v>是否直接入户</v>
      </c>
      <c r="R33" s="705" t="s">
        <v>14</v>
      </c>
      <c r="S33" s="706">
        <f t="shared" si="12"/>
        <v>100</v>
      </c>
      <c r="T33" s="705" t="s">
        <v>14</v>
      </c>
      <c r="U33" s="706">
        <f t="shared" si="13"/>
        <v>100</v>
      </c>
      <c r="V33" s="705" t="s">
        <v>14</v>
      </c>
      <c r="W33" s="706">
        <f t="shared" si="14"/>
        <v>100</v>
      </c>
      <c r="X33" s="1353"/>
      <c r="Y33" s="373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2"/>
      <c r="Q34" s="1350">
        <f t="shared" si="11"/>
        <v>111</v>
      </c>
      <c r="R34" s="705" t="s">
        <v>14</v>
      </c>
      <c r="S34" s="706">
        <f t="shared" si="12"/>
        <v>100</v>
      </c>
      <c r="T34" s="705" t="s">
        <v>14</v>
      </c>
      <c r="U34" s="706">
        <f t="shared" si="13"/>
        <v>100</v>
      </c>
      <c r="V34" s="705" t="s">
        <v>14</v>
      </c>
      <c r="W34" s="706">
        <f t="shared" si="14"/>
        <v>100</v>
      </c>
      <c r="X34" s="1353"/>
      <c r="Y34" s="373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2"/>
      <c r="Q36" s="1350">
        <f t="shared" si="11"/>
        <v>111</v>
      </c>
      <c r="R36" s="705" t="s">
        <v>14</v>
      </c>
      <c r="S36" s="706">
        <f t="shared" si="12"/>
        <v>100</v>
      </c>
      <c r="T36" s="705" t="s">
        <v>14</v>
      </c>
      <c r="U36" s="706">
        <f t="shared" si="13"/>
        <v>100</v>
      </c>
      <c r="V36" s="705" t="s">
        <v>14</v>
      </c>
      <c r="W36" s="706">
        <f t="shared" si="14"/>
        <v>100</v>
      </c>
      <c r="X36" s="1353"/>
      <c r="Y36" s="3732"/>
      <c r="Z36" s="1354">
        <f t="shared" si="15"/>
        <v>111</v>
      </c>
      <c r="AA36" s="1351">
        <f t="shared" si="3"/>
        <v>1</v>
      </c>
      <c r="AB36" s="1351">
        <f t="shared" si="4"/>
        <v>1</v>
      </c>
      <c r="AC36" s="1351">
        <f t="shared" si="5"/>
        <v>1</v>
      </c>
    </row>
    <row r="37" spans="1:29" ht="15">
      <c r="A37" s="430" t="s">
        <v>1841</v>
      </c>
      <c r="B37" s="1970" t="s">
        <v>3352</v>
      </c>
      <c r="C37" s="1154" t="s">
        <v>0</v>
      </c>
      <c r="D37" s="1155"/>
      <c r="E37" s="1156"/>
      <c r="F37" s="1157"/>
      <c r="G37" s="1158"/>
      <c r="H37" s="1159"/>
      <c r="I37" s="1156"/>
      <c r="J37" s="1159"/>
      <c r="K37" s="568"/>
      <c r="L37" s="2720"/>
      <c r="M37" s="2721"/>
      <c r="N37" s="2712"/>
      <c r="O37" s="2721"/>
      <c r="P37" s="3728" t="str">
        <f>A37</f>
        <v>成交单价</v>
      </c>
      <c r="Q37" s="3728"/>
      <c r="R37" s="3794">
        <f>E37</f>
        <v>0</v>
      </c>
      <c r="S37" s="3794"/>
      <c r="T37" s="3794">
        <f>G37</f>
        <v>0</v>
      </c>
      <c r="U37" s="3794"/>
      <c r="V37" s="3794">
        <f>I37</f>
        <v>0</v>
      </c>
      <c r="W37" s="3794"/>
      <c r="X37" s="690"/>
      <c r="Y37" s="712"/>
      <c r="Z37" s="690"/>
      <c r="AA37" s="690"/>
      <c r="AB37" s="690"/>
      <c r="AC37" s="690"/>
    </row>
    <row r="38" spans="1:29" ht="15.75" thickBot="1">
      <c r="A38" s="437" t="s">
        <v>1842</v>
      </c>
      <c r="B38" s="438" t="str">
        <f>B37</f>
        <v>元/平方米</v>
      </c>
      <c r="C38" s="1160" t="e">
        <f>R39</f>
        <v>#DIV/0!</v>
      </c>
      <c r="D38" s="2314" t="s">
        <v>2134</v>
      </c>
      <c r="E38" s="1161" t="e">
        <f>R38</f>
        <v>#DIV/0!</v>
      </c>
      <c r="F38" s="2315"/>
      <c r="G38" s="1160" t="e">
        <f>T38</f>
        <v>#DIV/0!</v>
      </c>
      <c r="H38" s="2315"/>
      <c r="I38" s="1161" t="e">
        <f>V38</f>
        <v>#DIV/0!</v>
      </c>
      <c r="J38" s="2315"/>
      <c r="K38" s="2317">
        <f>F38+H38+J38</f>
        <v>0</v>
      </c>
      <c r="L38" s="2720"/>
      <c r="M38" s="2721"/>
      <c r="N38" s="2721"/>
      <c r="O38" s="2721"/>
      <c r="P38" s="3728" t="str">
        <f>A38</f>
        <v>比较价值（元/平方米）</v>
      </c>
      <c r="Q38" s="3728"/>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0"/>
      <c r="M39" s="2721"/>
      <c r="N39" s="2721"/>
      <c r="O39" s="2721"/>
      <c r="P39" s="3722" t="str">
        <f>A39</f>
        <v>估价对象XX用房的比较价值（楼面单价，元/平方米）</v>
      </c>
      <c r="Q39" s="3723"/>
      <c r="R39" s="3819" t="e">
        <f>IF(F1="售价",ROUND(IF(D38="简单平均",AVERAGE(R38:W38),R38*F38+T38*H38+V38*J38),0),ROUND(IF(D38="简单平均",AVERAGE(R38:V38),R38*F38+T38*H38+V38*J38),1))</f>
        <v>#DIV/0!</v>
      </c>
      <c r="S39" s="3819"/>
      <c r="T39" s="3819"/>
      <c r="U39" s="3819"/>
      <c r="V39" s="3819"/>
      <c r="W39" s="381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1847</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3" t="str">
        <f>YEAR(C7)&amp;"-"&amp;MONTH(C7)</f>
        <v>2024-9</v>
      </c>
      <c r="D48" s="1184">
        <f>EDATE(C48,-1)</f>
        <v>45505</v>
      </c>
      <c r="E48" s="1184">
        <f t="shared" ref="E48:O48" si="16">EDATE(D48,-1)</f>
        <v>45474</v>
      </c>
      <c r="F48" s="1184">
        <f t="shared" si="16"/>
        <v>45444</v>
      </c>
      <c r="G48" s="1184">
        <f t="shared" si="16"/>
        <v>45413</v>
      </c>
      <c r="H48" s="1184">
        <f t="shared" si="16"/>
        <v>45383</v>
      </c>
      <c r="I48" s="1184">
        <f t="shared" si="16"/>
        <v>45352</v>
      </c>
      <c r="J48" s="1184">
        <f t="shared" si="16"/>
        <v>45323</v>
      </c>
      <c r="K48" s="1184">
        <f t="shared" si="16"/>
        <v>45292</v>
      </c>
      <c r="L48" s="1184">
        <f t="shared" si="16"/>
        <v>45261</v>
      </c>
      <c r="M48" s="1184">
        <f t="shared" si="16"/>
        <v>45231</v>
      </c>
      <c r="N48" s="1184">
        <f t="shared" si="16"/>
        <v>45200</v>
      </c>
      <c r="O48" s="1184">
        <f t="shared" si="16"/>
        <v>45170</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8" t="s">
        <v>1796</v>
      </c>
      <c r="D67" s="608" t="s">
        <v>1797</v>
      </c>
      <c r="E67" s="608" t="s">
        <v>1798</v>
      </c>
      <c r="F67" s="608" t="s">
        <v>1799</v>
      </c>
      <c r="G67" s="608" t="s">
        <v>1800</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3332</v>
      </c>
      <c r="C1" s="1223" t="s">
        <v>1659</v>
      </c>
      <c r="D1" s="1224"/>
      <c r="E1" s="3429"/>
      <c r="F1" s="1876"/>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1766</v>
      </c>
      <c r="B4" s="356"/>
      <c r="C4" s="3725" t="s">
        <v>1767</v>
      </c>
      <c r="D4" s="3737"/>
      <c r="E4" s="3738" t="s">
        <v>1768</v>
      </c>
      <c r="F4" s="3739"/>
      <c r="G4" s="3725" t="s">
        <v>1769</v>
      </c>
      <c r="H4" s="3737"/>
      <c r="I4" s="3725" t="s">
        <v>1770</v>
      </c>
      <c r="J4" s="3737"/>
      <c r="K4" s="559" t="s">
        <v>1771</v>
      </c>
      <c r="L4" s="2711"/>
      <c r="M4" s="2712"/>
      <c r="N4" s="2712"/>
      <c r="O4" s="2712"/>
      <c r="P4" s="3740" t="s">
        <v>1772</v>
      </c>
      <c r="Q4" s="3741"/>
      <c r="R4" s="3746" t="s">
        <v>1768</v>
      </c>
      <c r="S4" s="3747"/>
      <c r="T4" s="3746" t="s">
        <v>1769</v>
      </c>
      <c r="U4" s="3747"/>
      <c r="V4" s="3733" t="s">
        <v>1770</v>
      </c>
      <c r="W4" s="3733"/>
      <c r="X4" s="1353"/>
      <c r="Y4" s="3746" t="s">
        <v>1772</v>
      </c>
      <c r="Z4" s="3747"/>
      <c r="AA4" s="3734" t="s">
        <v>1768</v>
      </c>
      <c r="AB4" s="3735" t="s">
        <v>1769</v>
      </c>
      <c r="AC4" s="3734" t="s">
        <v>1770</v>
      </c>
    </row>
    <row r="5" spans="1:29" ht="15">
      <c r="A5" s="358"/>
      <c r="B5" s="359"/>
      <c r="C5" s="3754" t="s">
        <v>1670</v>
      </c>
      <c r="D5" s="3755"/>
      <c r="E5" s="3761" t="s">
        <v>1671</v>
      </c>
      <c r="F5" s="3762"/>
      <c r="G5" s="3754" t="s">
        <v>1672</v>
      </c>
      <c r="H5" s="3755"/>
      <c r="I5" s="3754" t="s">
        <v>1673</v>
      </c>
      <c r="J5" s="3755"/>
      <c r="K5" s="559"/>
      <c r="L5" s="2711"/>
      <c r="M5" s="2712"/>
      <c r="N5" s="2712"/>
      <c r="O5" s="2712"/>
      <c r="P5" s="3742"/>
      <c r="Q5" s="3743"/>
      <c r="R5" s="3748"/>
      <c r="S5" s="3749"/>
      <c r="T5" s="3748"/>
      <c r="U5" s="3749"/>
      <c r="V5" s="3733"/>
      <c r="W5" s="3733"/>
      <c r="X5" s="1353"/>
      <c r="Y5" s="3748"/>
      <c r="Z5" s="3749"/>
      <c r="AA5" s="3735"/>
      <c r="AB5" s="3735"/>
      <c r="AC5" s="3735"/>
    </row>
    <row r="6" spans="1:29" ht="15.75" thickBot="1">
      <c r="A6" s="360"/>
      <c r="B6" s="361"/>
      <c r="C6" s="3752" t="s">
        <v>1674</v>
      </c>
      <c r="D6" s="3753"/>
      <c r="E6" s="3759" t="s">
        <v>1674</v>
      </c>
      <c r="F6" s="3760"/>
      <c r="G6" s="3752" t="s">
        <v>1674</v>
      </c>
      <c r="H6" s="3753"/>
      <c r="I6" s="3752" t="s">
        <v>1674</v>
      </c>
      <c r="J6" s="3753"/>
      <c r="K6" s="559" t="s">
        <v>1675</v>
      </c>
      <c r="L6" s="2711"/>
      <c r="M6" s="2712"/>
      <c r="N6" s="2712"/>
      <c r="O6" s="2712"/>
      <c r="P6" s="3744"/>
      <c r="Q6" s="3745"/>
      <c r="R6" s="3748"/>
      <c r="S6" s="3749"/>
      <c r="T6" s="3750"/>
      <c r="U6" s="3751"/>
      <c r="V6" s="3733"/>
      <c r="W6" s="3733"/>
      <c r="X6" s="1353"/>
      <c r="Y6" s="3750"/>
      <c r="Z6" s="3751"/>
      <c r="AA6" s="3736"/>
      <c r="AB6" s="3736"/>
      <c r="AC6" s="3736"/>
    </row>
    <row r="7" spans="1:29" s="108" customFormat="1" ht="15.75" thickBot="1">
      <c r="A7" s="362" t="s">
        <v>1676</v>
      </c>
      <c r="B7" s="363"/>
      <c r="C7" s="364">
        <f>'数据-取费表'!B2</f>
        <v>45540</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56" t="s">
        <v>1677</v>
      </c>
      <c r="Q7" s="3758"/>
      <c r="R7" s="701" t="s">
        <v>14</v>
      </c>
      <c r="S7" s="702">
        <f t="shared" ref="S7:S14" si="0">F7</f>
        <v>0</v>
      </c>
      <c r="T7" s="701" t="s">
        <v>14</v>
      </c>
      <c r="U7" s="702">
        <f t="shared" ref="U7:U14" si="1">H7</f>
        <v>0</v>
      </c>
      <c r="V7" s="701" t="s">
        <v>14</v>
      </c>
      <c r="W7" s="702">
        <f t="shared" ref="W7:W14" si="2">J7</f>
        <v>0</v>
      </c>
      <c r="X7" s="703"/>
      <c r="Y7" s="3756" t="s">
        <v>1677</v>
      </c>
      <c r="Z7" s="3757"/>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6" t="s">
        <v>1680</v>
      </c>
      <c r="Q8" s="3757"/>
      <c r="R8" s="701" t="s">
        <v>14</v>
      </c>
      <c r="S8" s="702">
        <f t="shared" si="0"/>
        <v>100</v>
      </c>
      <c r="T8" s="701" t="s">
        <v>14</v>
      </c>
      <c r="U8" s="702">
        <f t="shared" si="1"/>
        <v>100</v>
      </c>
      <c r="V8" s="701" t="s">
        <v>14</v>
      </c>
      <c r="W8" s="702">
        <f t="shared" si="2"/>
        <v>100</v>
      </c>
      <c r="X8" s="703"/>
      <c r="Y8" s="3756" t="s">
        <v>1680</v>
      </c>
      <c r="Z8" s="3757"/>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28" t="s">
        <v>1683</v>
      </c>
      <c r="Q9" s="1341" t="str">
        <f t="shared" ref="Q9:Q14" si="6">B9</f>
        <v>用途</v>
      </c>
      <c r="R9" s="701" t="s">
        <v>14</v>
      </c>
      <c r="S9" s="702">
        <f t="shared" si="0"/>
        <v>100</v>
      </c>
      <c r="T9" s="701" t="s">
        <v>14</v>
      </c>
      <c r="U9" s="702">
        <f t="shared" si="1"/>
        <v>100</v>
      </c>
      <c r="V9" s="701" t="s">
        <v>14</v>
      </c>
      <c r="W9" s="702">
        <f t="shared" si="2"/>
        <v>100</v>
      </c>
      <c r="X9" s="703"/>
      <c r="Y9" s="3625" t="s">
        <v>1684</v>
      </c>
      <c r="Z9" s="52" t="str">
        <f t="shared" ref="Z9:Z14" si="7">Q9</f>
        <v>用途</v>
      </c>
      <c r="AA9" s="704">
        <f t="shared" si="3"/>
        <v>1</v>
      </c>
      <c r="AB9" s="704">
        <f t="shared" si="4"/>
        <v>1</v>
      </c>
      <c r="AC9" s="704">
        <f t="shared" si="5"/>
        <v>1</v>
      </c>
    </row>
    <row r="10" spans="1:29" s="378" customFormat="1" ht="27">
      <c r="A10" s="374"/>
      <c r="B10" s="375" t="s">
        <v>1685</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28"/>
      <c r="Q10" s="1341"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8"/>
      <c r="Q11" s="1341">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8"/>
      <c r="Q12" s="1341">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28"/>
      <c r="Q13" s="1341">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1687</v>
      </c>
      <c r="B14" s="61" t="s">
        <v>1830</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9" t="s">
        <v>1688</v>
      </c>
      <c r="Q14" s="1350" t="str">
        <f t="shared" si="6"/>
        <v>交通便捷度</v>
      </c>
      <c r="R14" s="705" t="s">
        <v>14</v>
      </c>
      <c r="S14" s="706">
        <f t="shared" si="0"/>
        <v>100</v>
      </c>
      <c r="T14" s="705" t="s">
        <v>14</v>
      </c>
      <c r="U14" s="706">
        <f t="shared" si="1"/>
        <v>100</v>
      </c>
      <c r="V14" s="705" t="s">
        <v>14</v>
      </c>
      <c r="W14" s="706">
        <f t="shared" si="2"/>
        <v>100</v>
      </c>
      <c r="X14" s="1353"/>
      <c r="Y14" s="3729" t="s">
        <v>1688</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730"/>
      <c r="Q15" s="1350"/>
      <c r="R15" s="705"/>
      <c r="S15" s="706"/>
      <c r="T15" s="705"/>
      <c r="U15" s="706"/>
      <c r="V15" s="705"/>
      <c r="W15" s="706"/>
      <c r="X15" s="1353"/>
      <c r="Y15" s="3730"/>
      <c r="Z15" s="1354"/>
      <c r="AA15" s="1351">
        <v>1</v>
      </c>
      <c r="AB15" s="1351">
        <v>1</v>
      </c>
      <c r="AC15" s="1351">
        <v>1</v>
      </c>
    </row>
    <row r="16" spans="1:29" ht="42.75">
      <c r="A16" s="379"/>
      <c r="B16" s="402" t="s">
        <v>1809</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0"/>
      <c r="Q16" s="1350" t="str">
        <f>B16</f>
        <v>公共配套设施</v>
      </c>
      <c r="R16" s="705" t="s">
        <v>14</v>
      </c>
      <c r="S16" s="706">
        <f>F16</f>
        <v>100</v>
      </c>
      <c r="T16" s="705" t="s">
        <v>14</v>
      </c>
      <c r="U16" s="706">
        <f>H16</f>
        <v>100</v>
      </c>
      <c r="V16" s="705" t="s">
        <v>14</v>
      </c>
      <c r="W16" s="706">
        <f>J16</f>
        <v>100</v>
      </c>
      <c r="X16" s="1353"/>
      <c r="Y16" s="3730"/>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718"/>
      <c r="M17" s="2712"/>
      <c r="N17" s="2712"/>
      <c r="O17" s="2770"/>
      <c r="P17" s="3730"/>
      <c r="Q17" s="1350"/>
      <c r="R17" s="705"/>
      <c r="S17" s="706"/>
      <c r="T17" s="705"/>
      <c r="U17" s="706"/>
      <c r="V17" s="705"/>
      <c r="W17" s="706"/>
      <c r="X17" s="1353"/>
      <c r="Y17" s="3730"/>
      <c r="Z17" s="1354"/>
      <c r="AA17" s="1351">
        <v>1</v>
      </c>
      <c r="AB17" s="1351">
        <v>1</v>
      </c>
      <c r="AC17" s="1351">
        <v>1</v>
      </c>
    </row>
    <row r="18" spans="1:29" ht="28.5">
      <c r="A18" s="379"/>
      <c r="B18" s="1131" t="s">
        <v>1810</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0"/>
      <c r="Q18" s="1350" t="str">
        <f>B18</f>
        <v>基础设施水平</v>
      </c>
      <c r="R18" s="705" t="s">
        <v>14</v>
      </c>
      <c r="S18" s="706">
        <f>F18</f>
        <v>100</v>
      </c>
      <c r="T18" s="705" t="s">
        <v>14</v>
      </c>
      <c r="U18" s="706">
        <f>H18</f>
        <v>100</v>
      </c>
      <c r="V18" s="705" t="s">
        <v>14</v>
      </c>
      <c r="W18" s="706">
        <f>J18</f>
        <v>100</v>
      </c>
      <c r="X18" s="1353"/>
      <c r="Y18" s="3730"/>
      <c r="Z18" s="1354" t="str">
        <f>Q18</f>
        <v>基础设施水平</v>
      </c>
      <c r="AA18" s="1351">
        <f t="shared" ref="AA18" si="8">D18/F18</f>
        <v>1</v>
      </c>
      <c r="AB18" s="1351">
        <f t="shared" ref="AB18" si="9">D18/H18</f>
        <v>1</v>
      </c>
      <c r="AC18" s="1351">
        <f t="shared" ref="AC18" si="10">D18/J18</f>
        <v>1</v>
      </c>
    </row>
    <row r="19" spans="1:29" ht="15">
      <c r="A19" s="379"/>
      <c r="B19" s="1131"/>
      <c r="C19" s="1898"/>
      <c r="D19" s="401"/>
      <c r="E19" s="1898"/>
      <c r="F19" s="404"/>
      <c r="G19" s="1898"/>
      <c r="H19" s="399"/>
      <c r="I19" s="398"/>
      <c r="J19" s="399"/>
      <c r="K19" s="1130"/>
      <c r="L19" s="2718"/>
      <c r="M19" s="2712"/>
      <c r="N19" s="2712"/>
      <c r="O19" s="2770"/>
      <c r="P19" s="3730"/>
      <c r="Q19" s="1350"/>
      <c r="R19" s="705"/>
      <c r="S19" s="706"/>
      <c r="T19" s="705"/>
      <c r="U19" s="706"/>
      <c r="V19" s="705"/>
      <c r="W19" s="706"/>
      <c r="X19" s="1353"/>
      <c r="Y19" s="3730"/>
      <c r="Z19" s="1354"/>
      <c r="AA19" s="1351">
        <v>1</v>
      </c>
      <c r="AB19" s="1351">
        <v>1</v>
      </c>
      <c r="AC19" s="1351">
        <v>1</v>
      </c>
    </row>
    <row r="20" spans="1:29" ht="57">
      <c r="A20" s="379"/>
      <c r="B20" s="402" t="s">
        <v>1831</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0"/>
      <c r="Q20" s="1350" t="str">
        <f>B20</f>
        <v>自然及人文环境</v>
      </c>
      <c r="R20" s="705" t="s">
        <v>14</v>
      </c>
      <c r="S20" s="706">
        <f>F20</f>
        <v>100</v>
      </c>
      <c r="T20" s="705" t="s">
        <v>14</v>
      </c>
      <c r="U20" s="706">
        <f>H20</f>
        <v>100</v>
      </c>
      <c r="V20" s="705" t="s">
        <v>14</v>
      </c>
      <c r="W20" s="706">
        <f>J20</f>
        <v>100</v>
      </c>
      <c r="X20" s="1353"/>
      <c r="Y20" s="373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730"/>
      <c r="Q21" s="1350"/>
      <c r="R21" s="705"/>
      <c r="S21" s="706"/>
      <c r="T21" s="705"/>
      <c r="U21" s="706"/>
      <c r="V21" s="705"/>
      <c r="W21" s="706"/>
      <c r="X21" s="1353"/>
      <c r="Y21" s="3730"/>
      <c r="Z21" s="1354"/>
      <c r="AA21" s="1351">
        <v>1</v>
      </c>
      <c r="AB21" s="1351">
        <v>1</v>
      </c>
      <c r="AC21" s="1351">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0"/>
      <c r="Q22" s="1350" t="str">
        <f>B22</f>
        <v>楼层</v>
      </c>
      <c r="R22" s="705" t="s">
        <v>14</v>
      </c>
      <c r="S22" s="706">
        <f>F22</f>
        <v>100</v>
      </c>
      <c r="T22" s="705" t="s">
        <v>14</v>
      </c>
      <c r="U22" s="706">
        <f>H22</f>
        <v>100</v>
      </c>
      <c r="V22" s="705" t="s">
        <v>14</v>
      </c>
      <c r="W22" s="706">
        <f>J22</f>
        <v>100</v>
      </c>
      <c r="X22" s="1353"/>
      <c r="Y22" s="3730"/>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0"/>
      <c r="Q23" s="1350">
        <f>B23</f>
        <v>111</v>
      </c>
      <c r="R23" s="705" t="s">
        <v>14</v>
      </c>
      <c r="S23" s="706">
        <f>F23</f>
        <v>100</v>
      </c>
      <c r="T23" s="705" t="s">
        <v>14</v>
      </c>
      <c r="U23" s="706">
        <f>H23</f>
        <v>100</v>
      </c>
      <c r="V23" s="705" t="s">
        <v>14</v>
      </c>
      <c r="W23" s="706">
        <f>J23</f>
        <v>100</v>
      </c>
      <c r="X23" s="1353"/>
      <c r="Y23" s="3730"/>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0"/>
      <c r="Q24" s="1350">
        <f t="shared" ref="Q24:Q34" si="11">B24</f>
        <v>111</v>
      </c>
      <c r="R24" s="705" t="s">
        <v>14</v>
      </c>
      <c r="S24" s="706">
        <f>F24</f>
        <v>100</v>
      </c>
      <c r="T24" s="705" t="s">
        <v>14</v>
      </c>
      <c r="U24" s="706">
        <f>H24</f>
        <v>100</v>
      </c>
      <c r="V24" s="705" t="s">
        <v>14</v>
      </c>
      <c r="W24" s="706">
        <f>J24</f>
        <v>100</v>
      </c>
      <c r="X24" s="1353"/>
      <c r="Y24" s="3730"/>
      <c r="Z24" s="1354">
        <f>Q24</f>
        <v>111</v>
      </c>
      <c r="AA24" s="1351">
        <f t="shared" si="3"/>
        <v>1</v>
      </c>
      <c r="AB24" s="1351">
        <f t="shared" si="4"/>
        <v>1</v>
      </c>
      <c r="AC24" s="1351">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30"/>
      <c r="Q25" s="1341">
        <f t="shared" si="11"/>
        <v>111</v>
      </c>
      <c r="R25" s="701" t="s">
        <v>14</v>
      </c>
      <c r="S25" s="702">
        <f>F25</f>
        <v>100</v>
      </c>
      <c r="T25" s="701" t="s">
        <v>14</v>
      </c>
      <c r="U25" s="702">
        <f>H25</f>
        <v>100</v>
      </c>
      <c r="V25" s="701" t="s">
        <v>14</v>
      </c>
      <c r="W25" s="702">
        <f>J25</f>
        <v>100</v>
      </c>
      <c r="X25" s="703"/>
      <c r="Y25" s="3730"/>
      <c r="Z25" s="52">
        <f>Q25</f>
        <v>111</v>
      </c>
      <c r="AA25" s="1351">
        <f>D25/F25</f>
        <v>1</v>
      </c>
      <c r="AB25" s="1351">
        <f>D25/H25</f>
        <v>1</v>
      </c>
      <c r="AC25" s="1351">
        <f>D25/J25</f>
        <v>1</v>
      </c>
    </row>
    <row r="26" spans="1:29" ht="28.5">
      <c r="A26" s="417" t="s">
        <v>1691</v>
      </c>
      <c r="B26" s="63" t="s">
        <v>1835</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31" t="s">
        <v>1693</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32" t="s">
        <v>1693</v>
      </c>
      <c r="Z26" s="1354" t="str">
        <f t="shared" ref="Z26:Z34" si="15">Q26</f>
        <v>公共部分装修</v>
      </c>
      <c r="AA26" s="1351">
        <f t="shared" si="3"/>
        <v>1</v>
      </c>
      <c r="AB26" s="1351">
        <f t="shared" si="4"/>
        <v>1</v>
      </c>
      <c r="AC26" s="1351">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1" t="e">
        <f t="shared" si="3"/>
        <v>#N/A</v>
      </c>
      <c r="AB27" s="1351" t="e">
        <f t="shared" si="4"/>
        <v>#N/A</v>
      </c>
      <c r="AC27" s="1351"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2"/>
      <c r="Q28" s="1350" t="str">
        <f t="shared" si="11"/>
        <v>物业等级</v>
      </c>
      <c r="R28" s="705" t="s">
        <v>14</v>
      </c>
      <c r="S28" s="706">
        <f t="shared" si="12"/>
        <v>100</v>
      </c>
      <c r="T28" s="705" t="s">
        <v>14</v>
      </c>
      <c r="U28" s="706">
        <f t="shared" si="13"/>
        <v>100</v>
      </c>
      <c r="V28" s="705" t="s">
        <v>14</v>
      </c>
      <c r="W28" s="706">
        <f t="shared" si="14"/>
        <v>100</v>
      </c>
      <c r="X28" s="1353"/>
      <c r="Y28" s="3732"/>
      <c r="Z28" s="1354" t="str">
        <f t="shared" si="15"/>
        <v>物业等级</v>
      </c>
      <c r="AA28" s="1351">
        <f t="shared" si="3"/>
        <v>1</v>
      </c>
      <c r="AB28" s="1351">
        <f t="shared" si="4"/>
        <v>1</v>
      </c>
      <c r="AC28" s="1351">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2"/>
      <c r="Q29" s="1350" t="str">
        <f t="shared" si="11"/>
        <v>有无电梯</v>
      </c>
      <c r="R29" s="705" t="s">
        <v>14</v>
      </c>
      <c r="S29" s="706">
        <f t="shared" si="12"/>
        <v>100</v>
      </c>
      <c r="T29" s="705" t="s">
        <v>14</v>
      </c>
      <c r="U29" s="706">
        <f t="shared" si="13"/>
        <v>100</v>
      </c>
      <c r="V29" s="705" t="s">
        <v>14</v>
      </c>
      <c r="W29" s="706">
        <f t="shared" si="14"/>
        <v>100</v>
      </c>
      <c r="X29" s="1353"/>
      <c r="Y29" s="3732"/>
      <c r="Z29" s="1354" t="str">
        <f t="shared" si="15"/>
        <v>有无电梯</v>
      </c>
      <c r="AA29" s="1351">
        <f t="shared" si="3"/>
        <v>1</v>
      </c>
      <c r="AB29" s="1351">
        <f t="shared" si="4"/>
        <v>1</v>
      </c>
      <c r="AC29" s="1351">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32"/>
      <c r="Q30" s="1350" t="str">
        <f t="shared" si="11"/>
        <v>建筑面积</v>
      </c>
      <c r="R30" s="705" t="s">
        <v>14</v>
      </c>
      <c r="S30" s="706" t="e">
        <f t="shared" si="12"/>
        <v>#N/A</v>
      </c>
      <c r="T30" s="705" t="s">
        <v>14</v>
      </c>
      <c r="U30" s="706" t="e">
        <f t="shared" si="13"/>
        <v>#N/A</v>
      </c>
      <c r="V30" s="705" t="s">
        <v>14</v>
      </c>
      <c r="W30" s="706" t="e">
        <f t="shared" si="14"/>
        <v>#N/A</v>
      </c>
      <c r="X30" s="1353"/>
      <c r="Y30" s="3732"/>
      <c r="Z30" s="1354" t="str">
        <f t="shared" si="15"/>
        <v>建筑面积</v>
      </c>
      <c r="AA30" s="1351" t="e">
        <f t="shared" si="3"/>
        <v>#N/A</v>
      </c>
      <c r="AB30" s="1351" t="e">
        <f t="shared" si="4"/>
        <v>#N/A</v>
      </c>
      <c r="AC30" s="1351"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2"/>
      <c r="Q31" s="1341"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2" t="s">
        <v>1693</v>
      </c>
      <c r="Q32" s="1350">
        <f t="shared" si="11"/>
        <v>111</v>
      </c>
      <c r="R32" s="705" t="s">
        <v>14</v>
      </c>
      <c r="S32" s="706">
        <f t="shared" si="12"/>
        <v>100</v>
      </c>
      <c r="T32" s="705" t="s">
        <v>14</v>
      </c>
      <c r="U32" s="706">
        <f t="shared" si="13"/>
        <v>100</v>
      </c>
      <c r="V32" s="705" t="s">
        <v>14</v>
      </c>
      <c r="W32" s="706">
        <f t="shared" si="14"/>
        <v>100</v>
      </c>
      <c r="X32" s="1353"/>
      <c r="Y32" s="3732" t="s">
        <v>1693</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2"/>
      <c r="Q33" s="1350">
        <f t="shared" si="11"/>
        <v>111</v>
      </c>
      <c r="R33" s="705" t="s">
        <v>14</v>
      </c>
      <c r="S33" s="706">
        <f t="shared" si="12"/>
        <v>100</v>
      </c>
      <c r="T33" s="705" t="s">
        <v>14</v>
      </c>
      <c r="U33" s="706">
        <f t="shared" si="13"/>
        <v>100</v>
      </c>
      <c r="V33" s="705" t="s">
        <v>14</v>
      </c>
      <c r="W33" s="706">
        <f t="shared" si="14"/>
        <v>100</v>
      </c>
      <c r="X33" s="1353"/>
      <c r="Y33" s="3732"/>
      <c r="Z33" s="1354">
        <f t="shared" si="15"/>
        <v>111</v>
      </c>
      <c r="AA33" s="1351">
        <f t="shared" si="3"/>
        <v>1</v>
      </c>
      <c r="AB33" s="1351">
        <f t="shared" si="4"/>
        <v>1</v>
      </c>
      <c r="AC33" s="1351">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32"/>
      <c r="Q34" s="1350">
        <f t="shared" si="11"/>
        <v>111</v>
      </c>
      <c r="R34" s="705" t="s">
        <v>14</v>
      </c>
      <c r="S34" s="706">
        <f t="shared" si="12"/>
        <v>100</v>
      </c>
      <c r="T34" s="705" t="s">
        <v>14</v>
      </c>
      <c r="U34" s="706">
        <f t="shared" si="13"/>
        <v>100</v>
      </c>
      <c r="V34" s="705" t="s">
        <v>14</v>
      </c>
      <c r="W34" s="706">
        <f t="shared" si="14"/>
        <v>100</v>
      </c>
      <c r="X34" s="1353"/>
      <c r="Y34" s="3732"/>
      <c r="Z34" s="1354">
        <f t="shared" si="15"/>
        <v>111</v>
      </c>
      <c r="AA34" s="1351">
        <f t="shared" si="3"/>
        <v>1</v>
      </c>
      <c r="AB34" s="1351">
        <f t="shared" si="4"/>
        <v>1</v>
      </c>
      <c r="AC34" s="1351">
        <f t="shared" si="5"/>
        <v>1</v>
      </c>
    </row>
    <row r="35" spans="1:30" ht="15">
      <c r="A35" s="430" t="s">
        <v>1705</v>
      </c>
      <c r="B35" s="431"/>
      <c r="C35" s="1154" t="s">
        <v>0</v>
      </c>
      <c r="D35" s="1155"/>
      <c r="E35" s="1156"/>
      <c r="F35" s="1157"/>
      <c r="G35" s="1158"/>
      <c r="H35" s="1159"/>
      <c r="I35" s="1156"/>
      <c r="J35" s="1159"/>
      <c r="K35" s="714"/>
      <c r="L35" s="2720"/>
      <c r="M35" s="2721"/>
      <c r="N35" s="2712"/>
      <c r="O35" s="2721"/>
      <c r="P35" s="3728" t="str">
        <f>A35</f>
        <v>成交单价（元/平方米）</v>
      </c>
      <c r="Q35" s="3728"/>
      <c r="R35" s="3794">
        <f>E35</f>
        <v>0</v>
      </c>
      <c r="S35" s="3794"/>
      <c r="T35" s="3794">
        <f>G35</f>
        <v>0</v>
      </c>
      <c r="U35" s="3794"/>
      <c r="V35" s="3794">
        <f>I35</f>
        <v>0</v>
      </c>
      <c r="W35" s="3794"/>
      <c r="X35" s="690"/>
      <c r="Y35" s="712"/>
      <c r="Z35" s="690"/>
      <c r="AA35" s="690"/>
      <c r="AB35" s="690"/>
      <c r="AC35" s="690"/>
    </row>
    <row r="36" spans="1:30" ht="15.75" thickBot="1">
      <c r="A36" s="437" t="s">
        <v>1790</v>
      </c>
      <c r="B36" s="438"/>
      <c r="C36" s="1160" t="e">
        <f>R37</f>
        <v>#DIV/0!</v>
      </c>
      <c r="D36" s="2314" t="s">
        <v>2134</v>
      </c>
      <c r="E36" s="1161" t="e">
        <f>R36</f>
        <v>#DIV/0!</v>
      </c>
      <c r="F36" s="2315"/>
      <c r="G36" s="1160" t="e">
        <f>T36</f>
        <v>#DIV/0!</v>
      </c>
      <c r="H36" s="2315"/>
      <c r="I36" s="1161" t="e">
        <f>V36</f>
        <v>#DIV/0!</v>
      </c>
      <c r="J36" s="2315"/>
      <c r="K36" s="2317">
        <f>F36+H36+J36</f>
        <v>0</v>
      </c>
      <c r="L36" s="2720"/>
      <c r="M36" s="2721"/>
      <c r="N36" s="2712"/>
      <c r="O36" s="2721"/>
      <c r="P36" s="3728" t="str">
        <f>A36</f>
        <v>比较价值（元/平方米）</v>
      </c>
      <c r="Q36" s="3728"/>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0"/>
      <c r="M37" s="2721"/>
      <c r="N37" s="2721"/>
      <c r="O37" s="2721"/>
      <c r="P37" s="3722" t="str">
        <f>A37</f>
        <v>估价对象XX用房的比较价值（楼面单价，元/平方米）</v>
      </c>
      <c r="Q37" s="3723"/>
      <c r="R37" s="3819" t="e">
        <f>IF(F1="售价",ROUND(IF(D36="简单平均",AVERAGE(R36:W36),R36*F36+T36*H36+V36*J36),0),ROUND(IF(D36="简单平均",AVERAGE(R36:V36),R36*F36+T36*H36+V36*J36),1))</f>
        <v>#DIV/0!</v>
      </c>
      <c r="S37" s="3819"/>
      <c r="T37" s="3819"/>
      <c r="U37" s="3819"/>
      <c r="V37" s="3819"/>
      <c r="W37" s="381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1795</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3" t="str">
        <f>YEAR(C7)&amp;"-"&amp;MONTH(C7)</f>
        <v>2024-9</v>
      </c>
      <c r="D46" s="1184">
        <f>EDATE(C46,-1)</f>
        <v>45505</v>
      </c>
      <c r="E46" s="1184">
        <f t="shared" ref="E46:O46" si="16">EDATE(D46,-1)</f>
        <v>45474</v>
      </c>
      <c r="F46" s="1184">
        <f t="shared" si="16"/>
        <v>45444</v>
      </c>
      <c r="G46" s="1184">
        <f t="shared" si="16"/>
        <v>45413</v>
      </c>
      <c r="H46" s="1184">
        <f t="shared" si="16"/>
        <v>45383</v>
      </c>
      <c r="I46" s="1184">
        <f t="shared" si="16"/>
        <v>45352</v>
      </c>
      <c r="J46" s="1184">
        <f t="shared" si="16"/>
        <v>45323</v>
      </c>
      <c r="K46" s="1184">
        <f t="shared" si="16"/>
        <v>45292</v>
      </c>
      <c r="L46" s="1184">
        <f t="shared" si="16"/>
        <v>45261</v>
      </c>
      <c r="M46" s="1184">
        <f t="shared" si="16"/>
        <v>45231</v>
      </c>
      <c r="N46" s="1184">
        <f t="shared" si="16"/>
        <v>45200</v>
      </c>
      <c r="O46" s="1184">
        <f t="shared" si="16"/>
        <v>45170</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8" t="s">
        <v>1796</v>
      </c>
      <c r="D65" s="608" t="s">
        <v>1797</v>
      </c>
      <c r="E65" s="608" t="s">
        <v>1798</v>
      </c>
      <c r="F65" s="608" t="s">
        <v>1799</v>
      </c>
      <c r="G65" s="608" t="s">
        <v>1800</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823" t="s">
        <v>2080</v>
      </c>
      <c r="D1" s="3824"/>
      <c r="E1" s="3824"/>
      <c r="F1" s="3824"/>
      <c r="G1" s="3824"/>
      <c r="H1" s="3824"/>
      <c r="I1" s="3824"/>
      <c r="J1" s="3824"/>
      <c r="K1" s="3824"/>
      <c r="L1" s="3824"/>
      <c r="M1" s="3824"/>
      <c r="N1" s="3824"/>
      <c r="O1" s="3824"/>
      <c r="P1" s="3824"/>
      <c r="Q1" s="3824"/>
      <c r="R1" s="3824"/>
      <c r="S1" s="3825"/>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2083</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2084</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2085</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2089</v>
      </c>
      <c r="B17" s="2146"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2091</v>
      </c>
      <c r="E19" s="1338"/>
      <c r="F19" s="1338"/>
      <c r="G19" s="1338"/>
      <c r="H19" s="1059"/>
      <c r="I19" s="159"/>
      <c r="J19" s="159"/>
      <c r="K19" s="159"/>
      <c r="L19" s="159"/>
      <c r="M19" s="159"/>
      <c r="N19" s="159"/>
      <c r="O19" s="159"/>
      <c r="P19" s="159"/>
      <c r="Q19" s="159"/>
      <c r="R19" s="718"/>
      <c r="S19" s="129"/>
    </row>
    <row r="20" spans="1:45" ht="16.5" thickBot="1">
      <c r="A20" s="662" t="s">
        <v>2092</v>
      </c>
      <c r="B20" s="294" t="e">
        <f ca="1">IF(D20="——",S22,S22-F20)</f>
        <v>#REF!</v>
      </c>
      <c r="C20" s="159"/>
      <c r="D20" s="2148"/>
      <c r="E20" s="1339"/>
      <c r="F20" s="983" t="e">
        <f ca="1">SUMIF(INDIRECT("'"&amp;H20&amp;"'"&amp;"!A:A"),"承租人权益价值",INDIRECT("'"&amp;H20&amp;"'"&amp;"!c:c"))</f>
        <v>#REF!</v>
      </c>
      <c r="G20" s="983" t="s">
        <v>2093</v>
      </c>
      <c r="H20" s="2149"/>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820" t="s">
        <v>27</v>
      </c>
      <c r="D22" s="3821"/>
      <c r="E22" s="3821"/>
      <c r="F22" s="3821"/>
      <c r="G22" s="3821"/>
      <c r="H22" s="3821"/>
      <c r="I22" s="3821"/>
      <c r="J22" s="3821"/>
      <c r="K22" s="3821"/>
      <c r="L22" s="3821"/>
      <c r="M22" s="3821"/>
      <c r="N22" s="3821"/>
      <c r="O22" s="3821"/>
      <c r="P22" s="3821"/>
      <c r="Q22" s="3822"/>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4" t="s">
        <v>2077</v>
      </c>
      <c r="B1" s="2144"/>
      <c r="C1" s="2144"/>
      <c r="D1" s="2144"/>
      <c r="E1" s="2144"/>
      <c r="F1" s="2789"/>
      <c r="G1" s="2789"/>
      <c r="H1" s="2789"/>
      <c r="I1" s="2789"/>
      <c r="J1" s="2789"/>
      <c r="K1" s="2789"/>
      <c r="L1" s="2789"/>
      <c r="M1" s="2789"/>
      <c r="N1" s="2789"/>
      <c r="O1" s="2789"/>
      <c r="P1" s="2789"/>
    </row>
    <row r="2" spans="1:16" ht="15.75">
      <c r="A2" s="2142" t="s">
        <v>2069</v>
      </c>
      <c r="B2" s="2598" t="e">
        <f ca="1">SUMIF(B6:B13,"&lt;&gt;#ref!",B6:B13)</f>
        <v>#DIV/0!</v>
      </c>
      <c r="C2" s="2142" t="s">
        <v>2070</v>
      </c>
      <c r="D2" s="2142" t="s">
        <v>2071</v>
      </c>
      <c r="E2" s="2608">
        <f ca="1">SUMIF(E6:E13,"&lt;&gt;#ref!",E6:E13)</f>
        <v>0</v>
      </c>
      <c r="F2" s="2789"/>
      <c r="G2" s="2789"/>
      <c r="H2" s="2789"/>
      <c r="I2" s="2789"/>
      <c r="J2" s="2789"/>
      <c r="K2" s="2789"/>
      <c r="L2" s="2789"/>
      <c r="M2" s="2789"/>
      <c r="N2" s="2789"/>
      <c r="O2" s="2789"/>
      <c r="P2" s="2789"/>
    </row>
    <row r="3" spans="1:16" ht="15.75">
      <c r="A3" s="2142" t="s">
        <v>2072</v>
      </c>
      <c r="B3" s="2598" t="e">
        <f ca="1">ROUND(B2*10000/E2,0)</f>
        <v>#DIV/0!</v>
      </c>
      <c r="C3" s="2142"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3"/>
      <c r="D5" s="2789"/>
      <c r="E5" s="2607" t="s">
        <v>2075</v>
      </c>
      <c r="F5" s="2789"/>
      <c r="G5" s="2789"/>
      <c r="H5" s="2789"/>
      <c r="I5" s="2789"/>
      <c r="J5" s="2789"/>
      <c r="K5" s="2789"/>
      <c r="L5" s="2789"/>
      <c r="M5" s="2789"/>
      <c r="N5" s="2789"/>
      <c r="O5" s="2789"/>
      <c r="P5" s="2789"/>
    </row>
    <row r="6" spans="1:16" ht="15.75">
      <c r="A6" s="2605" t="s">
        <v>2076</v>
      </c>
      <c r="B6" s="2598" t="e">
        <f ca="1">SUMIF(INDIRECT("'"&amp;A6&amp;"'"&amp;"!A:A"),"总价",INDIRECT("'"&amp;A6&amp;"'"&amp;"!B:B"))</f>
        <v>#DIV/0!</v>
      </c>
      <c r="C6" s="2142" t="s">
        <v>2070</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2"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6"/>
      <c r="C2" s="3526"/>
      <c r="D2" s="3526"/>
      <c r="E2" s="3526"/>
    </row>
    <row r="3" spans="1:5" ht="18">
      <c r="A3" s="3527" t="str">
        <f>IF(项目基本情况!B9="房地产市场价值","估价结果一览表（市场价值不需“结果表-1”）","估价结果一览表")</f>
        <v>估价结果一览表</v>
      </c>
      <c r="B3" s="3527"/>
      <c r="C3" s="3527"/>
      <c r="D3" s="3527"/>
      <c r="E3" s="3527"/>
    </row>
    <row r="4" spans="1:5" ht="19.5" thickBot="1">
      <c r="A4" s="1491"/>
      <c r="B4" s="3525" t="s">
        <v>917</v>
      </c>
      <c r="C4" s="3525"/>
      <c r="D4" s="3525"/>
      <c r="E4" s="1491"/>
    </row>
    <row r="5" spans="1:5" ht="16.5" thickTop="1">
      <c r="A5" s="1489"/>
      <c r="B5" s="3523" t="s">
        <v>909</v>
      </c>
      <c r="C5" s="1492" t="s">
        <v>910</v>
      </c>
      <c r="D5" s="850">
        <f ca="1">结果表!H101</f>
        <v>106839</v>
      </c>
      <c r="E5" s="1489"/>
    </row>
    <row r="6" spans="1:5" ht="15.75">
      <c r="A6" s="1489"/>
      <c r="B6" s="3523"/>
      <c r="C6" s="1492" t="s">
        <v>911</v>
      </c>
      <c r="D6" s="850" t="str">
        <f ca="1">NUMBERSTRING(INT(D5*10000),2)&amp;"元整"</f>
        <v>壹拾亿陆仟捌佰叁拾玖万元整</v>
      </c>
      <c r="E6" s="1489"/>
    </row>
    <row r="7" spans="1:5" ht="15.75">
      <c r="A7" s="1489"/>
      <c r="B7" s="3528"/>
      <c r="C7" s="1493" t="s">
        <v>912</v>
      </c>
      <c r="D7" s="851">
        <f ca="1">结果表!H102</f>
        <v>3943</v>
      </c>
      <c r="E7" s="1489"/>
    </row>
    <row r="8" spans="1:5" ht="15.75">
      <c r="A8" s="1489"/>
      <c r="B8" s="3529" t="str">
        <f>结果表!E103</f>
        <v>2.估价师知悉的法定优先受偿款</v>
      </c>
      <c r="C8" s="1494" t="s">
        <v>913</v>
      </c>
      <c r="D8" s="851">
        <f>结果表!H103</f>
        <v>0</v>
      </c>
      <c r="E8" s="1489"/>
    </row>
    <row r="9" spans="1:5" ht="15.75">
      <c r="A9" s="1489"/>
      <c r="B9" s="3531"/>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522" t="str">
        <f>结果表!E107</f>
        <v>3.房地产抵押价值</v>
      </c>
      <c r="C13" s="1497" t="s">
        <v>910</v>
      </c>
      <c r="D13" s="853">
        <f ca="1">结果表!H107</f>
        <v>106839</v>
      </c>
      <c r="E13" s="1489"/>
    </row>
    <row r="14" spans="1:5" ht="15.75">
      <c r="A14" s="1489"/>
      <c r="B14" s="3523"/>
      <c r="C14" s="1492" t="s">
        <v>911</v>
      </c>
      <c r="D14" s="850" t="str">
        <f ca="1">NUMBERSTRING(INT(D13*10000),2)&amp;"元整"</f>
        <v>壹拾亿陆仟捌佰叁拾玖万元整</v>
      </c>
      <c r="E14" s="1489"/>
    </row>
    <row r="15" spans="1:5" ht="15">
      <c r="A15" s="1489"/>
      <c r="B15" s="3528"/>
      <c r="C15" s="1493" t="s">
        <v>921</v>
      </c>
      <c r="D15" s="859">
        <f ca="1">结果表!H108</f>
        <v>3943</v>
      </c>
      <c r="E15" s="1489"/>
    </row>
    <row r="16" spans="1:5" ht="15">
      <c r="A16" s="1489"/>
      <c r="B16" s="3529" t="str">
        <f>结果表!E109</f>
        <v>——</v>
      </c>
      <c r="C16" s="1497" t="s">
        <v>922</v>
      </c>
      <c r="D16" s="1498" t="str">
        <f>结果表!H109</f>
        <v>——</v>
      </c>
      <c r="E16" s="1489"/>
    </row>
    <row r="17" spans="1:5" ht="15.75">
      <c r="A17" s="1489"/>
      <c r="B17" s="3530"/>
      <c r="C17" s="1492" t="s">
        <v>923</v>
      </c>
      <c r="D17" s="850" t="e">
        <f>NUMBERSTRING(INT(D16*10000),2)&amp;"元整"</f>
        <v>#VALUE!</v>
      </c>
      <c r="E17" s="1489"/>
    </row>
    <row r="18" spans="1:5" ht="15">
      <c r="A18" s="1489"/>
      <c r="B18" s="3531"/>
      <c r="C18" s="1493" t="s">
        <v>912</v>
      </c>
      <c r="D18" s="859" t="str">
        <f>结果表!H110</f>
        <v>——</v>
      </c>
      <c r="E18" s="1489"/>
    </row>
    <row r="19" spans="1:5" ht="15.75">
      <c r="A19" s="1489"/>
      <c r="B19" s="3522" t="str">
        <f>结果表!E111</f>
        <v>——</v>
      </c>
      <c r="C19" s="1497" t="s">
        <v>910</v>
      </c>
      <c r="D19" s="851" t="str">
        <f>结果表!H111</f>
        <v>——</v>
      </c>
      <c r="E19" s="1489"/>
    </row>
    <row r="20" spans="1:5" ht="15.75">
      <c r="A20" s="1489"/>
      <c r="B20" s="3523"/>
      <c r="C20" s="1492" t="s">
        <v>923</v>
      </c>
      <c r="D20" s="850" t="e">
        <f>NUMBERSTRING(INT(D19*10000),2)&amp;"元整"</f>
        <v>#VALUE!</v>
      </c>
      <c r="E20" s="1489"/>
    </row>
    <row r="21" spans="1:5" ht="15.75" thickBot="1">
      <c r="A21" s="1489"/>
      <c r="B21" s="3524"/>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1922</v>
      </c>
      <c r="B1" s="197"/>
      <c r="C1" s="201" t="s">
        <v>1923</v>
      </c>
      <c r="D1" s="342">
        <f>SUM(D33:D34,D37:D42)</f>
        <v>0</v>
      </c>
      <c r="E1" s="1992"/>
      <c r="F1" s="1992"/>
      <c r="G1" s="1992"/>
      <c r="H1" s="1992"/>
      <c r="I1" s="1992"/>
      <c r="J1" s="1992"/>
      <c r="K1" s="1119"/>
      <c r="L1" s="1993" t="s">
        <v>1924</v>
      </c>
      <c r="M1" s="863">
        <f>SUMPRODUCT((区片价!B5:B9=I2)*(区片价!C3:G3=E2)*(区片价!C5:G9))</f>
        <v>0</v>
      </c>
      <c r="N1" s="866">
        <f>SUMPRODUCT((因素修正幅度!B5:B9=I2)*(因素修正幅度!C3:G3=E2)*(因素修正幅度!C5:G9))</f>
        <v>0</v>
      </c>
      <c r="O1" s="1994"/>
      <c r="P1" s="1994"/>
      <c r="Q1" s="1119"/>
      <c r="R1" s="1211" t="s">
        <v>1925</v>
      </c>
      <c r="S1" s="1211" t="s">
        <v>1926</v>
      </c>
      <c r="T1" s="1211" t="s">
        <v>1927</v>
      </c>
      <c r="U1" s="1211" t="s">
        <v>1928</v>
      </c>
      <c r="V1" s="1211" t="s">
        <v>1929</v>
      </c>
      <c r="W1" s="1215"/>
      <c r="X1" s="1215"/>
      <c r="Y1" s="1215"/>
      <c r="Z1" s="1215"/>
      <c r="AA1" s="1215"/>
      <c r="AB1" s="1215"/>
      <c r="AC1" s="1216"/>
      <c r="AD1" s="1217"/>
      <c r="AE1" s="1217"/>
      <c r="AF1" s="1217"/>
      <c r="AG1" s="1217"/>
      <c r="AH1" s="1217"/>
      <c r="AI1" s="1217"/>
      <c r="AJ1" s="1218"/>
    </row>
    <row r="2" spans="1:36" ht="15.75">
      <c r="A2" s="201" t="s">
        <v>1930</v>
      </c>
      <c r="B2" s="204" t="e">
        <f>C30</f>
        <v>#DIV/0!</v>
      </c>
      <c r="C2" s="1996" t="s">
        <v>1931</v>
      </c>
      <c r="D2" s="1997" t="s">
        <v>1932</v>
      </c>
      <c r="E2" s="3418"/>
      <c r="F2" s="1997" t="s">
        <v>1933</v>
      </c>
      <c r="G2" s="1998">
        <f>IF(E2="商业",项目基本情况!B37,IF(E2="办公",项目基本情况!C37,IF(E2="住宅",项目基本情况!D37,IF(E2="工业",项目基本情况!E37,项目基本情况!F37))))</f>
        <v>0</v>
      </c>
      <c r="H2" s="1997" t="s">
        <v>1934</v>
      </c>
      <c r="I2" s="1998">
        <f>IF(E2="商业",项目基本情况!B38,IF(E2="办公",项目基本情况!C38,IF(E2="住宅",项目基本情况!D38,IF(E2="工业",项目基本情况!E38,项目基本情况!F38))))</f>
        <v>0</v>
      </c>
      <c r="J2" s="1999"/>
      <c r="K2" s="1119"/>
      <c r="L2" s="2000" t="s">
        <v>1935</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1936</v>
      </c>
      <c r="B3" s="204" t="e">
        <f>ROUND(B2*10000/D1,0)</f>
        <v>#DIV/0!</v>
      </c>
      <c r="C3" s="1996" t="s">
        <v>1937</v>
      </c>
      <c r="D3" s="1997" t="s">
        <v>1938</v>
      </c>
      <c r="E3" s="3416"/>
      <c r="F3" s="2001"/>
      <c r="G3" s="752">
        <f>IF(F3="宗地容积率",'数据-汇总表'!I4,IF(F3="估价对象容积率",'数据-汇总表'!I6,'数据-汇总表'!I7))</f>
        <v>0</v>
      </c>
      <c r="H3" s="170" t="s">
        <v>1939</v>
      </c>
      <c r="I3" s="775"/>
      <c r="J3" s="1999" t="s">
        <v>1940</v>
      </c>
      <c r="K3" s="1119"/>
      <c r="L3" s="2000" t="s">
        <v>1941</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833"/>
      <c r="B4" s="3834"/>
      <c r="C4" s="3834"/>
      <c r="D4" s="3835"/>
      <c r="E4" s="3835"/>
      <c r="F4" s="3835"/>
      <c r="G4" s="3835"/>
      <c r="H4" s="3835"/>
      <c r="I4" s="3835"/>
      <c r="J4" s="3836"/>
      <c r="K4" s="1119"/>
      <c r="L4" s="2000" t="s">
        <v>1942</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1943</v>
      </c>
      <c r="C5" s="753" t="e">
        <f>ROUND(IF(E2="商业",C6*C7*C17+C20,(IF(E2="住宅",C6*C13*C17+C20,IF(E2="办公",C6*C12*C17+C20,C6+C20)))),0)</f>
        <v>#DIV/0!</v>
      </c>
      <c r="D5" s="1337" t="e">
        <f>ROUND(C6*C17+C20,0)</f>
        <v>#DIV/0!</v>
      </c>
      <c r="E5" s="1337"/>
      <c r="F5" s="2004"/>
      <c r="G5" s="2005"/>
      <c r="H5" s="2005"/>
      <c r="I5" s="2005"/>
      <c r="J5" s="2006"/>
      <c r="K5" s="2007"/>
      <c r="L5" s="2000" t="s">
        <v>1944</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8"/>
      <c r="AD5" s="2009"/>
      <c r="AE5" s="2009"/>
      <c r="AF5" s="2009"/>
      <c r="AG5" s="2009"/>
      <c r="AH5" s="2009"/>
      <c r="AI5" s="2009"/>
      <c r="AJ5" s="2010"/>
    </row>
    <row r="6" spans="1:36" ht="15.75" thickBot="1">
      <c r="A6" s="2012" t="s">
        <v>1945</v>
      </c>
      <c r="B6" s="2013" t="s">
        <v>1946</v>
      </c>
      <c r="C6" s="754">
        <f>SUMIF(L1:L12,G2,M1:M12)</f>
        <v>0</v>
      </c>
      <c r="D6" s="2014"/>
      <c r="E6" s="2015"/>
      <c r="F6" s="2015"/>
      <c r="G6" s="2016"/>
      <c r="H6" s="2016"/>
      <c r="I6" s="2016"/>
      <c r="J6" s="2017"/>
      <c r="K6" s="1382"/>
      <c r="L6" s="2000" t="s">
        <v>1947</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8"/>
      <c r="AD6" s="2009"/>
      <c r="AE6" s="2009"/>
      <c r="AF6" s="2009"/>
      <c r="AG6" s="2009"/>
      <c r="AH6" s="2009"/>
      <c r="AI6" s="2009"/>
      <c r="AJ6" s="2010"/>
    </row>
    <row r="7" spans="1:36" ht="24.75" thickBot="1">
      <c r="A7" s="3300" t="s">
        <v>3235</v>
      </c>
      <c r="B7" s="2018" t="s">
        <v>1948</v>
      </c>
      <c r="C7" s="755" t="e">
        <f>IF(C8="不临65条商业街",1,ROUND(1+(1.6*E8+1.2*E9+0.8*E10+0.4*E11)*C9,4))</f>
        <v>#DIV/0!</v>
      </c>
      <c r="D7" s="2019" t="s">
        <v>1949</v>
      </c>
      <c r="E7" s="776"/>
      <c r="F7" s="2020"/>
      <c r="G7" s="2021"/>
      <c r="H7" s="2021"/>
      <c r="I7" s="2021"/>
      <c r="J7" s="2022"/>
      <c r="K7" s="1382"/>
      <c r="L7" s="2000" t="s">
        <v>1950</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6" t="s">
        <v>1951</v>
      </c>
      <c r="X7" s="1213">
        <f>G2</f>
        <v>0</v>
      </c>
      <c r="Y7" s="1213" t="s">
        <v>1952</v>
      </c>
      <c r="Z7" s="1214">
        <f>G3</f>
        <v>0</v>
      </c>
      <c r="AA7" s="1215"/>
      <c r="AB7" s="1215"/>
      <c r="AC7" s="1216"/>
      <c r="AD7" s="1217"/>
      <c r="AE7" s="1217"/>
      <c r="AF7" s="1217"/>
      <c r="AG7" s="1217"/>
      <c r="AH7" s="1217"/>
      <c r="AI7" s="1217"/>
      <c r="AJ7" s="1218"/>
    </row>
    <row r="8" spans="1:36" ht="15">
      <c r="A8" s="3295"/>
      <c r="B8" s="170" t="s">
        <v>1953</v>
      </c>
      <c r="C8" s="2023"/>
      <c r="D8" s="756" t="s">
        <v>112</v>
      </c>
      <c r="E8" s="757" t="e">
        <f>ROUND(C11/E7,4)</f>
        <v>#DIV/0!</v>
      </c>
      <c r="F8" s="2024" t="s">
        <v>1954</v>
      </c>
      <c r="G8" s="2025"/>
      <c r="H8" s="2025"/>
      <c r="I8" s="2025"/>
      <c r="J8" s="2026"/>
      <c r="K8" s="1119"/>
      <c r="L8" s="2000" t="s">
        <v>1955</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830" t="s">
        <v>1956</v>
      </c>
      <c r="X8" s="3831"/>
      <c r="Y8" s="1219" t="s">
        <v>1957</v>
      </c>
      <c r="Z8" s="1219" t="s">
        <v>1958</v>
      </c>
      <c r="AA8" s="1219" t="s">
        <v>1959</v>
      </c>
      <c r="AB8" s="1219" t="s">
        <v>1960</v>
      </c>
      <c r="AC8" s="1219" t="s">
        <v>1961</v>
      </c>
      <c r="AD8" s="1219" t="s">
        <v>1962</v>
      </c>
      <c r="AE8" s="1219" t="s">
        <v>1963</v>
      </c>
      <c r="AF8" s="1219" t="s">
        <v>1964</v>
      </c>
      <c r="AG8" s="1219" t="s">
        <v>1965</v>
      </c>
      <c r="AH8" s="1219" t="s">
        <v>1966</v>
      </c>
      <c r="AI8" s="1219" t="s">
        <v>1967</v>
      </c>
      <c r="AJ8" s="1219" t="s">
        <v>1968</v>
      </c>
    </row>
    <row r="9" spans="1:36" ht="15">
      <c r="A9" s="3295"/>
      <c r="B9" s="170" t="s">
        <v>1969</v>
      </c>
      <c r="C9" s="758">
        <f>SUMIF(修正!C71:C138,C8,修正!E71:E138)</f>
        <v>0</v>
      </c>
      <c r="D9" s="171" t="s">
        <v>113</v>
      </c>
      <c r="E9" s="171" t="e">
        <f>ROUND(C11/E7,4)</f>
        <v>#DIV/0!</v>
      </c>
      <c r="F9" s="2024" t="s">
        <v>1970</v>
      </c>
      <c r="G9" s="2025"/>
      <c r="H9" s="2025"/>
      <c r="I9" s="2025"/>
      <c r="J9" s="2026"/>
      <c r="K9" s="1119"/>
      <c r="L9" s="2000" t="s">
        <v>1971</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83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4" t="s">
        <v>1973</v>
      </c>
      <c r="G10" s="2025"/>
      <c r="H10" s="2025"/>
      <c r="I10" s="2025"/>
      <c r="J10" s="2026"/>
      <c r="K10" s="1119"/>
      <c r="L10" s="2000" t="s">
        <v>1974</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83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1975</v>
      </c>
      <c r="C11" s="759">
        <f>C10/4</f>
        <v>0</v>
      </c>
      <c r="D11" s="759" t="s">
        <v>115</v>
      </c>
      <c r="E11" s="759" t="e">
        <f>ROUND(C11/E7,4)</f>
        <v>#DIV/0!</v>
      </c>
      <c r="F11" s="2028" t="s">
        <v>1976</v>
      </c>
      <c r="G11" s="2029"/>
      <c r="H11" s="2029"/>
      <c r="I11" s="2029"/>
      <c r="J11" s="2030"/>
      <c r="K11" s="1119"/>
      <c r="L11" s="2000" t="s">
        <v>1977</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3236</v>
      </c>
      <c r="B12" s="3301" t="s">
        <v>3237</v>
      </c>
      <c r="C12" s="3302"/>
      <c r="D12" s="3303" t="s">
        <v>3238</v>
      </c>
      <c r="E12" s="3304" t="s">
        <v>3239</v>
      </c>
      <c r="F12" s="3305"/>
      <c r="G12" s="3306"/>
      <c r="H12" s="3306"/>
      <c r="I12" s="3306"/>
      <c r="J12" s="3307"/>
      <c r="K12" s="1119"/>
      <c r="L12" s="2036" t="s">
        <v>1980</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3240</v>
      </c>
      <c r="B13" s="2031" t="s">
        <v>1978</v>
      </c>
      <c r="C13" s="755">
        <f>ROUND(C16*D16*E16*F16*G16*H16*I16*J16,4)</f>
        <v>0</v>
      </c>
      <c r="D13" s="2032" t="s">
        <v>1979</v>
      </c>
      <c r="E13" s="2033"/>
      <c r="F13" s="2033"/>
      <c r="G13" s="2034"/>
      <c r="H13" s="2034"/>
      <c r="I13" s="2034"/>
      <c r="J13" s="2035"/>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7" t="s">
        <v>1981</v>
      </c>
      <c r="C14" s="2038" t="s">
        <v>1982</v>
      </c>
      <c r="D14" s="1348" t="s">
        <v>1983</v>
      </c>
      <c r="E14" s="27" t="s">
        <v>1984</v>
      </c>
      <c r="F14" s="3308" t="s">
        <v>3241</v>
      </c>
      <c r="G14" s="3308" t="s">
        <v>3241</v>
      </c>
      <c r="H14" s="3308" t="s">
        <v>3241</v>
      </c>
      <c r="I14" s="3308" t="s">
        <v>3241</v>
      </c>
      <c r="J14" s="3308" t="s">
        <v>3241</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9"/>
      <c r="C15" s="2040"/>
      <c r="D15" s="2041"/>
      <c r="E15" s="2042"/>
      <c r="F15" s="3309" t="s">
        <v>3242</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9"/>
      <c r="L16" s="1994"/>
      <c r="M16" s="1994"/>
      <c r="N16" s="1994"/>
      <c r="O16" s="1994"/>
      <c r="P16" s="1994"/>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t="e">
        <f>ROUND(G18/I18,2)</f>
        <v>#DIV/0!</v>
      </c>
      <c r="F17" s="3318" t="s">
        <v>3248</v>
      </c>
      <c r="G17" s="3327" t="e">
        <f>ROUND(E19/G19,2)</f>
        <v>#DIV/0!</v>
      </c>
      <c r="H17" s="3327"/>
      <c r="I17" s="3327"/>
      <c r="J17" s="3328"/>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9"/>
      <c r="B18" s="3006"/>
      <c r="C18" s="3324"/>
      <c r="D18" s="3319" t="s">
        <v>3246</v>
      </c>
      <c r="E18" s="3325"/>
      <c r="F18" s="3320" t="s">
        <v>3249</v>
      </c>
      <c r="G18" s="3324">
        <f>ROUND(1-(1/(POWER(1+G24,E18))),4)</f>
        <v>0</v>
      </c>
      <c r="H18" s="3320" t="s">
        <v>3251</v>
      </c>
      <c r="I18" s="3324">
        <f>ROUND(1-(1/(POWER(1+G24,J24))),4)</f>
        <v>0</v>
      </c>
      <c r="J18" s="3330"/>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4"/>
    </row>
    <row r="19" spans="1:37" s="2011" customFormat="1" ht="15" thickBot="1">
      <c r="A19" s="3331"/>
      <c r="B19" s="3332"/>
      <c r="C19" s="3333"/>
      <c r="D19" s="3333" t="s">
        <v>3247</v>
      </c>
      <c r="E19" s="3334"/>
      <c r="F19" s="3335" t="s">
        <v>3250</v>
      </c>
      <c r="G19" s="3334"/>
      <c r="H19" s="3333"/>
      <c r="I19" s="3333"/>
      <c r="J19" s="3336"/>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7"/>
      <c r="AH19" s="2138"/>
      <c r="AI19" s="2788"/>
      <c r="AJ19" s="2788"/>
      <c r="AK19" s="2054"/>
    </row>
    <row r="20" spans="1:37" s="2011" customFormat="1" ht="14.25">
      <c r="A20" s="3837" t="s">
        <v>3252</v>
      </c>
      <c r="B20" s="167" t="s">
        <v>1990</v>
      </c>
      <c r="C20" s="3321" t="e">
        <f>ROUND(IF(F21="与级别开发程度一致",0,(G21-E21)/C21),0)</f>
        <v>#DIV/0!</v>
      </c>
      <c r="D20" s="3337" t="s">
        <v>1994</v>
      </c>
      <c r="E20" s="3338"/>
      <c r="F20" s="3843" t="s">
        <v>1991</v>
      </c>
      <c r="G20" s="3844"/>
      <c r="H20" s="3322"/>
      <c r="I20" s="3322"/>
      <c r="J20" s="3323"/>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1" customFormat="1" ht="15" thickBot="1">
      <c r="A21" s="3838"/>
      <c r="B21" s="2161" t="s">
        <v>1993</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1" customFormat="1" ht="15.75" thickBot="1">
      <c r="A22" s="2155" t="s">
        <v>363</v>
      </c>
      <c r="B22" s="2156" t="s">
        <v>1996</v>
      </c>
      <c r="C22" s="2157">
        <f>SUMIF(修正!C20:C51,E3,修正!E20:E51)</f>
        <v>0</v>
      </c>
      <c r="D22" s="2158"/>
      <c r="E22" s="2159"/>
      <c r="F22" s="2159"/>
      <c r="G22" s="2159"/>
      <c r="H22" s="2159"/>
      <c r="I22" s="2159"/>
      <c r="J22" s="2160"/>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7" t="s">
        <v>364</v>
      </c>
      <c r="B23" s="2048" t="s">
        <v>1997</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1" t="s">
        <v>1998</v>
      </c>
      <c r="E23" s="761">
        <v>44197</v>
      </c>
      <c r="F23" s="2051" t="s">
        <v>1999</v>
      </c>
      <c r="G23" s="762">
        <f>'数据-取费表'!B2</f>
        <v>45540</v>
      </c>
      <c r="H23" s="3339" t="s">
        <v>3254</v>
      </c>
      <c r="I23" s="3340" t="str">
        <f>IF(H23="季度增幅（自定义）",SUMIF(N25:N28,E2,O25:O28),"")</f>
        <v/>
      </c>
      <c r="J23" s="3442" t="s">
        <v>3253</v>
      </c>
      <c r="K23" s="1125"/>
      <c r="L23" s="2052" t="s">
        <v>2000</v>
      </c>
      <c r="M23" s="1327">
        <f>ROUND(SUMIF(地价!B2:G2,E2,地价!B16:G16),0)</f>
        <v>0</v>
      </c>
      <c r="N23" s="2053" t="s">
        <v>2001</v>
      </c>
      <c r="O23" s="763">
        <f>ROUNDDOWN(DATEDIF(E23,G23,"M")/3,0)</f>
        <v>14</v>
      </c>
      <c r="P23" s="1122"/>
      <c r="Q23" s="2784"/>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2002</v>
      </c>
      <c r="C24" s="764" t="e">
        <f>ROUND(POWER(1+G24,J24-I24)*(POWER(1+G24,I24)-1)/(POWER(1+G24,J24)-1),4)</f>
        <v>#DIV/0!</v>
      </c>
      <c r="D24" s="2057" t="s">
        <v>2003</v>
      </c>
      <c r="E24" s="1333">
        <f>存贷款利率!E26/100</f>
        <v>4.3499999999999997E-2</v>
      </c>
      <c r="F24" s="2057" t="s">
        <v>1995</v>
      </c>
      <c r="G24" s="768">
        <f>SUMIF(M30:Q30,E2,M33:Q33)</f>
        <v>0</v>
      </c>
      <c r="H24" s="2057" t="s">
        <v>2004</v>
      </c>
      <c r="I24" s="769" t="e">
        <f>SUMIF('数据-取费表'!C6:C15,E2,'数据-取费表'!F6:F15)/COUNTIF('数据-取费表'!C6:C15,E2)</f>
        <v>#DIV/0!</v>
      </c>
      <c r="J24" s="770">
        <f>IF(E2="住宅",70,IF(E2="商业",40,50))</f>
        <v>50</v>
      </c>
      <c r="K24" s="1125"/>
      <c r="L24" s="2058" t="s">
        <v>2005</v>
      </c>
      <c r="M24" s="1328">
        <f>ROUND(SUMPRODUCT((地价!A4:A16=YEAR(G23)&amp;"-"&amp;ROUNDUP(MONTH(G23)/3,0))*(地价!B2:G2=E2)*(地价!B4:G16)),0)</f>
        <v>0</v>
      </c>
      <c r="N24" s="2059" t="s">
        <v>2006</v>
      </c>
      <c r="O24" s="2060" t="s">
        <v>2007</v>
      </c>
      <c r="P24" s="2061" t="s">
        <v>2008</v>
      </c>
      <c r="Q24" s="1994"/>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2" t="s">
        <v>366</v>
      </c>
      <c r="B25" s="2063" t="s">
        <v>3333</v>
      </c>
      <c r="C25" s="771">
        <f>IF(B25="容积率修正",IF(G3&lt;10,D26,J26),C27)</f>
        <v>0</v>
      </c>
      <c r="D25" s="2064"/>
      <c r="E25" s="2064"/>
      <c r="F25" s="2064"/>
      <c r="G25" s="2064"/>
      <c r="H25" s="2064"/>
      <c r="I25" s="2064"/>
      <c r="J25" s="2065"/>
      <c r="K25" s="1125"/>
      <c r="L25" s="2784"/>
      <c r="M25" s="2784"/>
      <c r="N25" s="2066" t="s">
        <v>2009</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2010</v>
      </c>
      <c r="B26" s="2067" t="s">
        <v>2011</v>
      </c>
      <c r="C26" s="3341" t="s">
        <v>3255</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3256</v>
      </c>
      <c r="J26" s="772" t="str">
        <f>IF(G3&gt;=10,D115,"——")</f>
        <v>——</v>
      </c>
      <c r="K26" s="1125"/>
      <c r="L26" s="2784"/>
      <c r="M26" s="2784"/>
      <c r="N26" s="2066" t="s">
        <v>2012</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2013</v>
      </c>
      <c r="B27" s="2068" t="s">
        <v>2014</v>
      </c>
      <c r="C27" s="841">
        <f>ROUND(IF(I3&lt;6,SUMPRODUCT((B106:B110=I3)*(C105:N105=G2)*(C106:N110)),SUMIF(C105:N105,G2,C112:N112)),4)</f>
        <v>0</v>
      </c>
      <c r="D27" s="2043"/>
      <c r="E27" s="2043"/>
      <c r="F27" s="2069"/>
      <c r="G27" s="2070"/>
      <c r="H27" s="2071"/>
      <c r="I27" s="2072"/>
      <c r="J27" s="2073"/>
      <c r="K27" s="1119"/>
      <c r="L27" s="1994"/>
      <c r="M27" s="1994"/>
      <c r="N27" s="2066" t="s">
        <v>2015</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2016</v>
      </c>
      <c r="C28" s="760">
        <f>SUMIF(A47:A101,E2,B47:B101)</f>
        <v>0</v>
      </c>
      <c r="D28" s="2049"/>
      <c r="E28" s="2074"/>
      <c r="F28" s="2074"/>
      <c r="G28" s="2074"/>
      <c r="H28" s="2074"/>
      <c r="I28" s="2074"/>
      <c r="J28" s="2075"/>
      <c r="K28" s="1125"/>
      <c r="L28" s="2784"/>
      <c r="M28" s="2784"/>
      <c r="N28" s="2076"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2018</v>
      </c>
      <c r="C29" s="765"/>
      <c r="D29" s="2021"/>
      <c r="E29" s="2021"/>
      <c r="F29" s="2078"/>
      <c r="G29" s="2021"/>
      <c r="H29" s="2021"/>
      <c r="I29" s="2021"/>
      <c r="J29" s="2022"/>
      <c r="K29" s="1119"/>
      <c r="L29" s="1994"/>
      <c r="M29" s="1994"/>
      <c r="N29" s="2781" t="s">
        <v>2019</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2020</v>
      </c>
      <c r="C30" s="2318" t="e">
        <f>IF(B25="容积率修正",E33+SUM(E37:E42),SUM(V2:V16)+SUM(E37:E42))</f>
        <v>#DIV/0!</v>
      </c>
      <c r="D30" s="2080"/>
      <c r="E30" s="2043"/>
      <c r="F30" s="2081"/>
      <c r="G30" s="2043"/>
      <c r="H30" s="2043"/>
      <c r="I30" s="2043"/>
      <c r="J30" s="2082"/>
      <c r="K30" s="1119"/>
      <c r="L30" s="3347" t="s">
        <v>1932</v>
      </c>
      <c r="M30" s="3348" t="s">
        <v>1986</v>
      </c>
      <c r="N30" s="3348" t="s">
        <v>1987</v>
      </c>
      <c r="O30" s="3348" t="s">
        <v>1988</v>
      </c>
      <c r="P30" s="3348" t="s">
        <v>1989</v>
      </c>
      <c r="Q30" s="3351" t="s">
        <v>3260</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2021</v>
      </c>
      <c r="C31" s="766" t="e">
        <f>E34+SUM(I37:I42)</f>
        <v>#DIV/0!</v>
      </c>
      <c r="D31" s="2084"/>
      <c r="E31" s="2085"/>
      <c r="F31" s="2086"/>
      <c r="G31" s="2085"/>
      <c r="H31" s="2085"/>
      <c r="I31" s="2085"/>
      <c r="J31" s="2087"/>
      <c r="K31" s="1119"/>
      <c r="L31" s="3349" t="s">
        <v>1992</v>
      </c>
      <c r="M31" s="1997">
        <v>0.25</v>
      </c>
      <c r="N31" s="1997">
        <v>0.2</v>
      </c>
      <c r="O31" s="1997">
        <v>0.15</v>
      </c>
      <c r="P31" s="1997">
        <v>0.1</v>
      </c>
      <c r="Q31" s="3344">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2022</v>
      </c>
      <c r="C32" s="2090" t="s">
        <v>2023</v>
      </c>
      <c r="D32" s="2090" t="s">
        <v>2024</v>
      </c>
      <c r="E32" s="2091" t="s">
        <v>2025</v>
      </c>
      <c r="F32" s="2092"/>
      <c r="G32" s="2034"/>
      <c r="H32" s="2034"/>
      <c r="I32" s="2034"/>
      <c r="J32" s="2035"/>
      <c r="K32" s="1119"/>
      <c r="L32" s="3350" t="s">
        <v>1995</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2026</v>
      </c>
      <c r="C33" s="175" t="e">
        <f>ROUND(C5*C22*C23*C24*C25*C28,0)</f>
        <v>#DIV/0!</v>
      </c>
      <c r="D33" s="2095"/>
      <c r="E33" s="773" t="e">
        <f>ROUND(C33*D33/10000,0)</f>
        <v>#DIV/0!</v>
      </c>
      <c r="F33" s="3342" t="s">
        <v>3258</v>
      </c>
      <c r="G33" s="2096"/>
      <c r="H33" s="2096"/>
      <c r="I33" s="2096"/>
      <c r="J33" s="2097"/>
      <c r="K33" s="1119"/>
      <c r="L33" s="3345" t="s">
        <v>3261</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2027</v>
      </c>
      <c r="C34" s="187" t="e">
        <f>ROUND(IF(E2="工业",C33*M42,IF(B25="楼层修正",SUM(V2:V16)*M41*10000/D34,C33*M41)),0)</f>
        <v>#DIV/0!</v>
      </c>
      <c r="D34" s="2100"/>
      <c r="E34" s="773" t="e">
        <f>ROUND(IF(B25="楼层修正",SUM(V2:V16)*M40,C34*D34/10000),0)</f>
        <v>#DIV/0!</v>
      </c>
      <c r="F34" s="2101" t="s">
        <v>2028</v>
      </c>
      <c r="G34" s="2102"/>
      <c r="H34" s="2102"/>
      <c r="I34" s="2102"/>
      <c r="J34" s="2103"/>
      <c r="K34" s="1119"/>
      <c r="L34" s="3345" t="s">
        <v>3262</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2029</v>
      </c>
      <c r="C35" s="3343" t="s">
        <v>3259</v>
      </c>
      <c r="D35" s="2034"/>
      <c r="E35" s="2106"/>
      <c r="F35" s="2106"/>
      <c r="G35" s="2032" t="s">
        <v>2030</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2023</v>
      </c>
      <c r="D36" s="447" t="s">
        <v>2024</v>
      </c>
      <c r="E36" s="447" t="s">
        <v>2025</v>
      </c>
      <c r="F36" s="342" t="s">
        <v>2031</v>
      </c>
      <c r="G36" s="2109" t="s">
        <v>2023</v>
      </c>
      <c r="H36" s="2109" t="s">
        <v>2024</v>
      </c>
      <c r="I36" s="2109" t="s">
        <v>2025</v>
      </c>
      <c r="J36" s="243"/>
      <c r="K36" s="3353" t="s">
        <v>3263</v>
      </c>
      <c r="L36" s="3443">
        <f ca="1">'数据-取费表'!B40</f>
        <v>3.3500000000000002E-2</v>
      </c>
      <c r="M36" s="3354">
        <f ca="1">ROUND($L$36*(1+M31),3)</f>
        <v>4.2000000000000003E-2</v>
      </c>
      <c r="N36" s="3354">
        <f ca="1">ROUND($L$36*(1+N31),3)</f>
        <v>0.04</v>
      </c>
      <c r="O36" s="3354">
        <f ca="1">ROUND($L$36*(1+O31),3)</f>
        <v>3.9E-2</v>
      </c>
      <c r="P36" s="3354">
        <f ca="1">ROUND($L$36*(1+P31),3)</f>
        <v>3.6999999999999998E-2</v>
      </c>
      <c r="Q36" s="3354">
        <f ca="1">ROUND($L$36*(1+Q31),3)</f>
        <v>3.9E-2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841"/>
      <c r="B37" s="2110" t="s">
        <v>2032</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8"/>
      <c r="K37" s="3355" t="s">
        <v>3264</v>
      </c>
      <c r="L37" s="3353">
        <f ca="1">L36+K38</f>
        <v>3.85E-2</v>
      </c>
      <c r="M37" s="3354">
        <f ca="1">ROUND($L$37*(1+M31),3)</f>
        <v>4.8000000000000001E-2</v>
      </c>
      <c r="N37" s="3354">
        <f t="shared" ref="N37:Q37" ca="1" si="3">ROUND($L$37*(1+N31),3)</f>
        <v>4.5999999999999999E-2</v>
      </c>
      <c r="O37" s="3354">
        <f t="shared" ca="1" si="3"/>
        <v>4.3999999999999997E-2</v>
      </c>
      <c r="P37" s="3354">
        <f t="shared" ca="1" si="3"/>
        <v>4.2000000000000003E-2</v>
      </c>
      <c r="Q37" s="3354">
        <f t="shared" ca="1" si="3"/>
        <v>4.3999999999999997E-2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842"/>
      <c r="B38" s="2038" t="s">
        <v>2033</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42"/>
      <c r="B39" s="2038" t="s">
        <v>3257</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2034</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2035</v>
      </c>
      <c r="M40" s="2114"/>
      <c r="Z40" s="1120"/>
      <c r="AA40" s="1120"/>
      <c r="AB40" s="1120"/>
      <c r="AC40" s="1120"/>
      <c r="AD40" s="1120"/>
      <c r="AE40" s="1120"/>
      <c r="AF40" s="1120"/>
      <c r="AG40" s="1120"/>
      <c r="AH40" s="1120"/>
      <c r="AI40" s="1120"/>
      <c r="AJ40" s="1120"/>
    </row>
    <row r="41" spans="1:37" s="1119" customFormat="1">
      <c r="A41" s="2112"/>
      <c r="B41" s="2038" t="s">
        <v>2036</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6" t="s">
        <v>3265</v>
      </c>
      <c r="M41" s="2115">
        <v>0.25</v>
      </c>
      <c r="Z41" s="1120"/>
      <c r="AA41" s="1120"/>
      <c r="AB41" s="1120"/>
      <c r="AC41" s="1120"/>
      <c r="AD41" s="1120"/>
      <c r="AE41" s="1120"/>
      <c r="AF41" s="1120"/>
      <c r="AG41" s="1120"/>
      <c r="AH41" s="1120"/>
      <c r="AI41" s="1120"/>
      <c r="AJ41" s="1120"/>
    </row>
    <row r="42" spans="1:37" s="1119" customFormat="1" ht="13.5" thickBot="1">
      <c r="A42" s="2098"/>
      <c r="B42" s="2116" t="s">
        <v>2037</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1989</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2118</v>
      </c>
      <c r="C44" s="342" t="e">
        <f>ROUND(POWER(1+E44,H44-G44)*(POWER(1+E44,G44)-1)/(POWER(1+E44,H44)-1),4)</f>
        <v>#DIV/0!</v>
      </c>
      <c r="D44" s="171" t="s">
        <v>1995</v>
      </c>
      <c r="E44" s="2150">
        <f>G24</f>
        <v>0</v>
      </c>
      <c r="F44" s="171" t="s">
        <v>2004</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2038</v>
      </c>
      <c r="B47" s="2122"/>
      <c r="C47" s="4"/>
      <c r="D47" s="4"/>
      <c r="E47" s="4"/>
      <c r="F47" s="3"/>
      <c r="G47" s="3"/>
      <c r="H47" s="3"/>
      <c r="I47" s="1818"/>
      <c r="J47" s="1818"/>
      <c r="K47" s="1818"/>
      <c r="L47" s="1818"/>
      <c r="M47" s="1818"/>
      <c r="AA47" s="1120"/>
      <c r="AB47" s="1120"/>
      <c r="AC47" s="1120"/>
      <c r="AD47" s="1120"/>
      <c r="AE47" s="1120"/>
      <c r="AF47" s="1120"/>
      <c r="AG47" s="1120"/>
      <c r="AH47" s="1120"/>
      <c r="AI47" s="1120"/>
      <c r="AJ47" s="1120"/>
      <c r="AK47" s="1120"/>
    </row>
    <row r="48" spans="1:37" s="1119" customFormat="1" ht="15">
      <c r="A48" s="2123" t="s">
        <v>2039</v>
      </c>
      <c r="B48" s="2124">
        <f>1+E50</f>
        <v>1</v>
      </c>
      <c r="C48" s="2125"/>
      <c r="D48" s="741"/>
      <c r="E48" s="742"/>
      <c r="F48" s="2126"/>
      <c r="G48" s="3"/>
      <c r="H48" s="4"/>
      <c r="I48" s="1818"/>
      <c r="J48" s="1818"/>
      <c r="K48" s="1818"/>
      <c r="L48" s="1818"/>
      <c r="M48" s="1818"/>
      <c r="AA48" s="1120"/>
      <c r="AB48" s="1120"/>
      <c r="AC48" s="1120"/>
      <c r="AD48" s="1120"/>
      <c r="AE48" s="1120"/>
      <c r="AF48" s="1120"/>
      <c r="AG48" s="1120"/>
      <c r="AH48" s="1120"/>
      <c r="AI48" s="1120"/>
      <c r="AJ48" s="1120"/>
      <c r="AK48" s="1120"/>
    </row>
    <row r="49" spans="1:37" s="1119" customFormat="1" ht="24.75">
      <c r="A49" s="2127" t="s">
        <v>2040</v>
      </c>
      <c r="B49" s="1349" t="s">
        <v>2041</v>
      </c>
      <c r="C49" s="1349" t="s">
        <v>2042</v>
      </c>
      <c r="D49" s="1349" t="s">
        <v>2043</v>
      </c>
      <c r="E49" s="743" t="s">
        <v>2044</v>
      </c>
      <c r="F49" s="2128" t="s">
        <v>2045</v>
      </c>
      <c r="G49" s="1349" t="s">
        <v>310</v>
      </c>
      <c r="H49" s="2129" t="s">
        <v>2046</v>
      </c>
      <c r="I49" s="1349"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27" t="s">
        <v>2048</v>
      </c>
      <c r="B50" s="2130" t="str">
        <f>估价对象房地状况!C4</f>
        <v>估价对象位于XX商圈，周边商业氛围成熟，人流量大，商业繁华度好</v>
      </c>
      <c r="C50" s="2041"/>
      <c r="D50" s="1065">
        <f t="shared" ref="D50:D58" si="7">SUMIF($J$49:$N$49,C50,J50:N50)</f>
        <v>0</v>
      </c>
      <c r="E50" s="744">
        <f>ROUND(SUM(D50:D58),4)</f>
        <v>0</v>
      </c>
      <c r="F50" s="1811"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2049</v>
      </c>
      <c r="B51" s="2131" t="str">
        <f>估价对象房地状况!C18</f>
        <v>估价对象周边道路状况、公共交通通达情况、停车便捷程度，综合评价交通便捷度较好</v>
      </c>
      <c r="C51" s="2041"/>
      <c r="D51" s="1065">
        <f t="shared" si="7"/>
        <v>0</v>
      </c>
      <c r="E51" s="745"/>
      <c r="F51" s="1811"/>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3267</v>
      </c>
      <c r="B52" s="2131">
        <f>估价对象房地状况!C19</f>
        <v>0</v>
      </c>
      <c r="C52" s="2041"/>
      <c r="D52" s="1065">
        <f t="shared" si="7"/>
        <v>0</v>
      </c>
      <c r="E52" s="745"/>
      <c r="F52" s="1811"/>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2050</v>
      </c>
      <c r="B53" s="2132" t="s">
        <v>2051</v>
      </c>
      <c r="C53" s="2041"/>
      <c r="D53" s="1065">
        <f t="shared" si="7"/>
        <v>0</v>
      </c>
      <c r="E53" s="745"/>
      <c r="F53" s="1811"/>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2052</v>
      </c>
      <c r="B54" s="2131">
        <f>估价对象房地状况!C24</f>
        <v>0</v>
      </c>
      <c r="C54" s="2041"/>
      <c r="D54" s="1065">
        <f t="shared" si="7"/>
        <v>0</v>
      </c>
      <c r="E54" s="745"/>
      <c r="F54" s="1811"/>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2053</v>
      </c>
      <c r="B55" s="2133" t="s">
        <v>2054</v>
      </c>
      <c r="C55" s="2041"/>
      <c r="D55" s="1065">
        <f t="shared" si="7"/>
        <v>0</v>
      </c>
      <c r="E55" s="745"/>
      <c r="F55" s="1811"/>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2055</v>
      </c>
      <c r="B56" s="1325" t="str">
        <f>估价对象房地状况!C21</f>
        <v>估价对象所在区域公共配套设施齐备情况</v>
      </c>
      <c r="C56" s="2041"/>
      <c r="D56" s="1065">
        <f t="shared" si="7"/>
        <v>0</v>
      </c>
      <c r="E56" s="745"/>
      <c r="F56" s="1811"/>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2056</v>
      </c>
      <c r="B57" s="2131" t="str">
        <f>估价对象房地状况!C22</f>
        <v>估价对象所在区域基础设施水平</v>
      </c>
      <c r="C57" s="2041"/>
      <c r="D57" s="1065">
        <f t="shared" si="7"/>
        <v>0</v>
      </c>
      <c r="E57" s="745"/>
      <c r="F57" s="1811"/>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2057</v>
      </c>
      <c r="B58" s="2136" t="str">
        <f>估价对象房地状况!C20</f>
        <v>区域自然环境：；人文环境；综合评价环境状况一般</v>
      </c>
      <c r="C58" s="2041"/>
      <c r="D58" s="1065">
        <f t="shared" si="7"/>
        <v>0</v>
      </c>
      <c r="E58" s="746"/>
      <c r="F58" s="1811"/>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2058</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2040</v>
      </c>
      <c r="B60" s="1349"/>
      <c r="C60" s="1349" t="s">
        <v>2042</v>
      </c>
      <c r="D60" s="1349" t="s">
        <v>2043</v>
      </c>
      <c r="E60" s="743" t="s">
        <v>2044</v>
      </c>
      <c r="F60" s="2128" t="s">
        <v>2059</v>
      </c>
      <c r="G60" s="1349" t="s">
        <v>310</v>
      </c>
      <c r="H60" s="2129" t="s">
        <v>2046</v>
      </c>
      <c r="I60" s="1349"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27" t="s">
        <v>2060</v>
      </c>
      <c r="B61" s="2130" t="str">
        <f>估价对象房地状况!C17</f>
        <v>估价对象位于XX商圈，周边办公楼项目较多，入驻率高，办公集聚程度较好</v>
      </c>
      <c r="C61" s="2041"/>
      <c r="D61" s="1065">
        <f t="shared" ref="D61:D69" si="12">SUMIF($J$60:$N$60,C61,J61:N61)</f>
        <v>0</v>
      </c>
      <c r="E61" s="744">
        <f>ROUND(SUM(D61:D69),4)</f>
        <v>0</v>
      </c>
      <c r="F61" s="1811"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7" t="s">
        <v>2049</v>
      </c>
      <c r="B62" s="2131" t="str">
        <f>估价对象房地状况!C18</f>
        <v>估价对象周边道路状况、公共交通通达情况、停车便捷程度，综合评价交通便捷度较好</v>
      </c>
      <c r="C62" s="2041"/>
      <c r="D62" s="1065">
        <f t="shared" si="12"/>
        <v>0</v>
      </c>
      <c r="E62" s="745"/>
      <c r="F62" s="1811"/>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3267</v>
      </c>
      <c r="B63" s="2131">
        <f>估价对象房地状况!C19</f>
        <v>0</v>
      </c>
      <c r="C63" s="2041"/>
      <c r="D63" s="1065">
        <f t="shared" si="12"/>
        <v>0</v>
      </c>
      <c r="E63" s="745"/>
      <c r="F63" s="1811"/>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2050</v>
      </c>
      <c r="B64" s="2132" t="s">
        <v>2051</v>
      </c>
      <c r="C64" s="2041"/>
      <c r="D64" s="1065">
        <f t="shared" si="12"/>
        <v>0</v>
      </c>
      <c r="E64" s="745"/>
      <c r="F64" s="1811"/>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2052</v>
      </c>
      <c r="B65" s="2131">
        <f>估价对象房地状况!C24</f>
        <v>0</v>
      </c>
      <c r="C65" s="2041"/>
      <c r="D65" s="1065">
        <f t="shared" si="12"/>
        <v>0</v>
      </c>
      <c r="E65" s="745"/>
      <c r="F65" s="1811"/>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2053</v>
      </c>
      <c r="B66" s="2133" t="s">
        <v>2054</v>
      </c>
      <c r="C66" s="2041"/>
      <c r="D66" s="1065">
        <f t="shared" si="12"/>
        <v>0</v>
      </c>
      <c r="E66" s="745"/>
      <c r="F66" s="1811"/>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7" t="s">
        <v>2055</v>
      </c>
      <c r="B67" s="1325" t="str">
        <f>估价对象房地状况!C21</f>
        <v>估价对象所在区域公共配套设施齐备情况</v>
      </c>
      <c r="C67" s="2041"/>
      <c r="D67" s="1065">
        <f t="shared" si="12"/>
        <v>0</v>
      </c>
      <c r="E67" s="745"/>
      <c r="F67" s="1811"/>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2056</v>
      </c>
      <c r="B68" s="1325" t="str">
        <f>估价对象房地状况!C22</f>
        <v>估价对象所在区域基础设施水平</v>
      </c>
      <c r="C68" s="2041"/>
      <c r="D68" s="1065">
        <f t="shared" si="12"/>
        <v>0</v>
      </c>
      <c r="E68" s="745"/>
      <c r="F68" s="1811"/>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5" t="s">
        <v>2057</v>
      </c>
      <c r="B69" s="2137" t="str">
        <f>估价对象房地状况!C20</f>
        <v>区域自然环境：；人文环境；综合评价环境状况一般</v>
      </c>
      <c r="C69" s="2041"/>
      <c r="D69" s="1065">
        <f t="shared" si="12"/>
        <v>0</v>
      </c>
      <c r="E69" s="746"/>
      <c r="F69" s="1811"/>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2061</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2040</v>
      </c>
      <c r="B71" s="1349"/>
      <c r="C71" s="1349" t="s">
        <v>2042</v>
      </c>
      <c r="D71" s="1349" t="s">
        <v>2043</v>
      </c>
      <c r="E71" s="743" t="s">
        <v>2044</v>
      </c>
      <c r="F71" s="2128" t="s">
        <v>2059</v>
      </c>
      <c r="G71" s="1349" t="s">
        <v>310</v>
      </c>
      <c r="H71" s="2129" t="s">
        <v>2046</v>
      </c>
      <c r="I71" s="1349"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27" t="s">
        <v>2062</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1"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2049</v>
      </c>
      <c r="B73" s="2131" t="str">
        <f>估价对象房地状况!C18</f>
        <v>估价对象周边道路状况、公共交通通达情况、停车便捷程度，综合评价交通便捷度较好</v>
      </c>
      <c r="C73" s="2041"/>
      <c r="D73" s="1065">
        <f t="shared" si="17"/>
        <v>0</v>
      </c>
      <c r="E73" s="747"/>
      <c r="F73" s="1811"/>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5" t="s">
        <v>3267</v>
      </c>
      <c r="B74" s="2131">
        <f>估价对象房地状况!C19</f>
        <v>0</v>
      </c>
      <c r="C74" s="2041"/>
      <c r="D74" s="1065">
        <f t="shared" si="17"/>
        <v>0</v>
      </c>
      <c r="E74" s="747"/>
      <c r="F74" s="1811"/>
      <c r="G74" s="1063"/>
      <c r="H74" s="1066" t="str">
        <f t="shared" si="18"/>
        <v>——</v>
      </c>
      <c r="I74" s="3363">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2063</v>
      </c>
      <c r="B75" s="2131">
        <f>估价对象房地状况!C24</f>
        <v>0</v>
      </c>
      <c r="C75" s="2041"/>
      <c r="D75" s="1065">
        <f t="shared" si="17"/>
        <v>0</v>
      </c>
      <c r="E75" s="747"/>
      <c r="F75" s="1811"/>
      <c r="G75" s="1063"/>
      <c r="H75" s="1066" t="str">
        <f t="shared" si="18"/>
        <v>——</v>
      </c>
      <c r="I75" s="3363">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5.5">
      <c r="A76" s="2127" t="s">
        <v>2055</v>
      </c>
      <c r="B76" s="1325" t="str">
        <f>估价对象房地状况!C21</f>
        <v>估价对象所在区域公共配套设施齐备情况</v>
      </c>
      <c r="C76" s="2041"/>
      <c r="D76" s="1065">
        <f t="shared" si="17"/>
        <v>0</v>
      </c>
      <c r="E76" s="747"/>
      <c r="F76" s="1811"/>
      <c r="G76" s="1063"/>
      <c r="H76" s="1066" t="str">
        <f t="shared" si="18"/>
        <v>——</v>
      </c>
      <c r="I76" s="3363">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2056</v>
      </c>
      <c r="B77" s="1325" t="str">
        <f>估价对象房地状况!C22</f>
        <v>估价对象所在区域基础设施水平</v>
      </c>
      <c r="C77" s="2041"/>
      <c r="D77" s="1065">
        <f t="shared" si="17"/>
        <v>0</v>
      </c>
      <c r="E77" s="747"/>
      <c r="F77" s="1811"/>
      <c r="G77" s="1063"/>
      <c r="H77" s="1066" t="str">
        <f t="shared" si="18"/>
        <v>——</v>
      </c>
      <c r="I77" s="3363">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2053</v>
      </c>
      <c r="B78" s="2133" t="s">
        <v>2054</v>
      </c>
      <c r="C78" s="2041"/>
      <c r="D78" s="1065">
        <f t="shared" si="17"/>
        <v>0</v>
      </c>
      <c r="E78" s="747"/>
      <c r="F78" s="1811"/>
      <c r="G78" s="1063"/>
      <c r="H78" s="1066" t="str">
        <f t="shared" si="18"/>
        <v>——</v>
      </c>
      <c r="I78" s="3363">
        <v>0.05</v>
      </c>
      <c r="J78" s="1064">
        <f t="shared" si="19"/>
        <v>0</v>
      </c>
      <c r="K78" s="1064">
        <f t="shared" si="20"/>
        <v>0</v>
      </c>
      <c r="L78" s="1064">
        <v>0</v>
      </c>
      <c r="M78" s="1064">
        <f t="shared" si="21"/>
        <v>0</v>
      </c>
      <c r="N78" s="1064">
        <f t="shared" si="21"/>
        <v>0</v>
      </c>
      <c r="O78" s="1994"/>
      <c r="P78" s="1994"/>
      <c r="Z78" s="1995"/>
      <c r="AA78" s="2050"/>
      <c r="AG78" s="1121"/>
      <c r="AK78" s="2050"/>
    </row>
    <row r="79" spans="1:37" ht="25.5">
      <c r="A79" s="2127" t="s">
        <v>2057</v>
      </c>
      <c r="B79" s="2130" t="str">
        <f>估价对象房地状况!C20</f>
        <v>区域自然环境：；人文环境；综合评价环境状况一般</v>
      </c>
      <c r="C79" s="2041"/>
      <c r="D79" s="1065">
        <f t="shared" si="17"/>
        <v>0</v>
      </c>
      <c r="E79" s="747"/>
      <c r="F79" s="1811"/>
      <c r="G79" s="1063"/>
      <c r="H79" s="1066" t="str">
        <f t="shared" si="18"/>
        <v>——</v>
      </c>
      <c r="I79" s="3363">
        <v>0.12</v>
      </c>
      <c r="J79" s="1064">
        <f t="shared" si="19"/>
        <v>0</v>
      </c>
      <c r="K79" s="1064">
        <f t="shared" si="20"/>
        <v>0</v>
      </c>
      <c r="L79" s="1064">
        <v>0</v>
      </c>
      <c r="M79" s="1064">
        <f t="shared" si="21"/>
        <v>0</v>
      </c>
      <c r="N79" s="1064">
        <f t="shared" si="21"/>
        <v>0</v>
      </c>
      <c r="Z79" s="1995"/>
      <c r="AA79" s="2050"/>
      <c r="AG79" s="1121"/>
      <c r="AK79" s="2050"/>
    </row>
    <row r="80" spans="1:37" ht="24.75" thickBot="1">
      <c r="A80" s="2135" t="s">
        <v>2064</v>
      </c>
      <c r="B80" s="2139"/>
      <c r="C80" s="2041"/>
      <c r="D80" s="1065">
        <f t="shared" si="17"/>
        <v>0</v>
      </c>
      <c r="E80" s="748"/>
      <c r="F80" s="1811"/>
      <c r="G80" s="1063"/>
      <c r="H80" s="1066" t="str">
        <f t="shared" si="18"/>
        <v>——</v>
      </c>
      <c r="I80" s="3364">
        <v>0.05</v>
      </c>
      <c r="J80" s="1064">
        <f t="shared" si="19"/>
        <v>0</v>
      </c>
      <c r="K80" s="1064">
        <f t="shared" si="20"/>
        <v>0</v>
      </c>
      <c r="L80" s="1064">
        <v>0</v>
      </c>
      <c r="M80" s="1064">
        <f t="shared" si="21"/>
        <v>0</v>
      </c>
      <c r="N80" s="1064">
        <f t="shared" si="21"/>
        <v>0</v>
      </c>
      <c r="Z80" s="1995"/>
      <c r="AA80" s="2050"/>
      <c r="AG80" s="1121"/>
      <c r="AK80" s="2050"/>
    </row>
    <row r="81" spans="1:37" ht="15">
      <c r="A81" s="2123" t="s">
        <v>2065</v>
      </c>
      <c r="B81" s="2124">
        <f>1+E83</f>
        <v>1</v>
      </c>
      <c r="C81" s="741"/>
      <c r="D81" s="741"/>
      <c r="E81" s="742"/>
      <c r="F81" s="2126"/>
      <c r="G81" s="3"/>
      <c r="H81" s="3"/>
      <c r="I81" s="3"/>
      <c r="J81" s="4"/>
      <c r="K81" s="4"/>
      <c r="L81" s="4"/>
      <c r="M81" s="4"/>
      <c r="N81" s="4"/>
      <c r="Z81" s="1995"/>
      <c r="AA81" s="2050"/>
      <c r="AG81" s="1121"/>
      <c r="AK81" s="2050"/>
    </row>
    <row r="82" spans="1:37" ht="24.75">
      <c r="A82" s="2127" t="s">
        <v>2040</v>
      </c>
      <c r="B82" s="1349"/>
      <c r="C82" s="1349" t="s">
        <v>2042</v>
      </c>
      <c r="D82" s="1349" t="s">
        <v>2043</v>
      </c>
      <c r="E82" s="743" t="s">
        <v>2044</v>
      </c>
      <c r="F82" s="2128" t="s">
        <v>2059</v>
      </c>
      <c r="G82" s="1349" t="s">
        <v>310</v>
      </c>
      <c r="H82" s="2129" t="s">
        <v>2046</v>
      </c>
      <c r="I82" s="1349" t="s">
        <v>2047</v>
      </c>
      <c r="J82" s="552" t="s">
        <v>1718</v>
      </c>
      <c r="K82" s="552" t="s">
        <v>1719</v>
      </c>
      <c r="L82" s="552" t="s">
        <v>1720</v>
      </c>
      <c r="M82" s="552" t="s">
        <v>1721</v>
      </c>
      <c r="N82" s="552" t="s">
        <v>1722</v>
      </c>
      <c r="Z82" s="1995"/>
      <c r="AA82" s="2050"/>
      <c r="AG82" s="1121"/>
      <c r="AK82" s="2050"/>
    </row>
    <row r="83" spans="1:37" ht="38.25">
      <c r="A83" s="2127" t="s">
        <v>2066</v>
      </c>
      <c r="B83" s="2131" t="str">
        <f>估价对象房地状况!G15</f>
        <v>估价对象位于XX开发区，园区建设成熟度XX，产业集聚程度XX</v>
      </c>
      <c r="C83" s="2041"/>
      <c r="D83" s="1065">
        <f t="shared" ref="D83:D90" si="22">SUMIF($J$82:$N$82,C83,J83:N83)</f>
        <v>0</v>
      </c>
      <c r="E83" s="744">
        <f>ROUND(SUM(D83:D90),4)</f>
        <v>0</v>
      </c>
      <c r="F83" s="1811"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2049</v>
      </c>
      <c r="B84" s="2131" t="str">
        <f>估价对象房地状况!G16</f>
        <v>估价对象周边道路状况、公共交通通达情况、停车便捷程度，综合评价交通便捷度较好</v>
      </c>
      <c r="C84" s="2041"/>
      <c r="D84" s="1065">
        <f t="shared" si="22"/>
        <v>0</v>
      </c>
      <c r="E84" s="747"/>
      <c r="F84" s="1811"/>
      <c r="G84" s="1063"/>
      <c r="H84" s="1066" t="str">
        <f t="shared" si="23"/>
        <v>——</v>
      </c>
      <c r="I84" s="3363">
        <v>0.3</v>
      </c>
      <c r="J84" s="1064">
        <f t="shared" si="24"/>
        <v>0</v>
      </c>
      <c r="K84" s="1064">
        <f t="shared" si="25"/>
        <v>0</v>
      </c>
      <c r="L84" s="1064">
        <v>0</v>
      </c>
      <c r="M84" s="1064">
        <f t="shared" si="26"/>
        <v>0</v>
      </c>
      <c r="N84" s="1064">
        <f t="shared" si="26"/>
        <v>0</v>
      </c>
      <c r="Z84" s="1995"/>
      <c r="AA84" s="2050"/>
      <c r="AG84" s="1121"/>
      <c r="AK84" s="2050"/>
    </row>
    <row r="85" spans="1:37" ht="36">
      <c r="A85" s="3365" t="s">
        <v>3268</v>
      </c>
      <c r="B85" s="2131">
        <f>估价对象房地状况!G17</f>
        <v>0</v>
      </c>
      <c r="C85" s="2041"/>
      <c r="D85" s="1065">
        <f t="shared" si="22"/>
        <v>0</v>
      </c>
      <c r="E85" s="747"/>
      <c r="F85" s="1811"/>
      <c r="G85" s="1063"/>
      <c r="H85" s="1066" t="str">
        <f t="shared" si="23"/>
        <v>——</v>
      </c>
      <c r="I85" s="3363">
        <v>0.1</v>
      </c>
      <c r="J85" s="1064">
        <f t="shared" si="24"/>
        <v>0</v>
      </c>
      <c r="K85" s="1064">
        <f t="shared" si="25"/>
        <v>0</v>
      </c>
      <c r="L85" s="1064">
        <v>0</v>
      </c>
      <c r="M85" s="1064">
        <f t="shared" si="26"/>
        <v>0</v>
      </c>
      <c r="N85" s="1064">
        <f t="shared" si="26"/>
        <v>0</v>
      </c>
      <c r="Z85" s="1995"/>
      <c r="AA85" s="2050"/>
      <c r="AG85" s="1121"/>
      <c r="AK85" s="2050"/>
    </row>
    <row r="86" spans="1:37" ht="14.25">
      <c r="A86" s="2127" t="s">
        <v>2063</v>
      </c>
      <c r="B86" s="2131">
        <f>估价对象房地状况!G22</f>
        <v>0</v>
      </c>
      <c r="C86" s="2041"/>
      <c r="D86" s="1065">
        <f t="shared" si="22"/>
        <v>0</v>
      </c>
      <c r="E86" s="747"/>
      <c r="F86" s="1811"/>
      <c r="G86" s="1063"/>
      <c r="H86" s="1066" t="str">
        <f t="shared" si="23"/>
        <v>——</v>
      </c>
      <c r="I86" s="3363">
        <v>0.05</v>
      </c>
      <c r="J86" s="1064">
        <f t="shared" si="24"/>
        <v>0</v>
      </c>
      <c r="K86" s="1064">
        <f t="shared" si="25"/>
        <v>0</v>
      </c>
      <c r="L86" s="1064">
        <v>0</v>
      </c>
      <c r="M86" s="1064">
        <f t="shared" si="26"/>
        <v>0</v>
      </c>
      <c r="N86" s="1064">
        <f t="shared" si="26"/>
        <v>0</v>
      </c>
      <c r="Z86" s="1995"/>
      <c r="AA86" s="2050"/>
      <c r="AG86" s="1121"/>
      <c r="AK86" s="2050"/>
    </row>
    <row r="87" spans="1:37" ht="25.5">
      <c r="A87" s="2127" t="s">
        <v>2055</v>
      </c>
      <c r="B87" s="1325" t="str">
        <f>估价对象房地状况!G19</f>
        <v>估价对象所在区域公共配套设施齐备情况</v>
      </c>
      <c r="C87" s="2041"/>
      <c r="D87" s="1065">
        <f t="shared" si="22"/>
        <v>0</v>
      </c>
      <c r="E87" s="747"/>
      <c r="F87" s="1811"/>
      <c r="G87" s="1063"/>
      <c r="H87" s="1066" t="str">
        <f t="shared" si="23"/>
        <v>——</v>
      </c>
      <c r="I87" s="3363">
        <v>0.06</v>
      </c>
      <c r="J87" s="1064">
        <f t="shared" si="24"/>
        <v>0</v>
      </c>
      <c r="K87" s="1064">
        <f t="shared" si="25"/>
        <v>0</v>
      </c>
      <c r="L87" s="1064">
        <v>0</v>
      </c>
      <c r="M87" s="1064">
        <f t="shared" si="26"/>
        <v>0</v>
      </c>
      <c r="N87" s="1064">
        <f t="shared" si="26"/>
        <v>0</v>
      </c>
    </row>
    <row r="88" spans="1:37" ht="25.5">
      <c r="A88" s="2127" t="s">
        <v>2056</v>
      </c>
      <c r="B88" s="1325" t="str">
        <f>估价对象房地状况!G20</f>
        <v>估价对象所在区域基础设施水平</v>
      </c>
      <c r="C88" s="2041"/>
      <c r="D88" s="1065">
        <f t="shared" si="22"/>
        <v>0</v>
      </c>
      <c r="E88" s="747"/>
      <c r="F88" s="1811"/>
      <c r="G88" s="1063"/>
      <c r="H88" s="1066" t="str">
        <f t="shared" si="23"/>
        <v>——</v>
      </c>
      <c r="I88" s="3363">
        <v>0.12</v>
      </c>
      <c r="J88" s="1064">
        <f t="shared" si="24"/>
        <v>0</v>
      </c>
      <c r="K88" s="1064">
        <f t="shared" si="25"/>
        <v>0</v>
      </c>
      <c r="L88" s="1064">
        <v>0</v>
      </c>
      <c r="M88" s="1064">
        <f t="shared" si="26"/>
        <v>0</v>
      </c>
      <c r="N88" s="1064">
        <f t="shared" si="26"/>
        <v>0</v>
      </c>
    </row>
    <row r="89" spans="1:37" ht="24">
      <c r="A89" s="2127" t="s">
        <v>2053</v>
      </c>
      <c r="B89" s="2133" t="s">
        <v>2067</v>
      </c>
      <c r="C89" s="2041"/>
      <c r="D89" s="1065">
        <f t="shared" si="22"/>
        <v>0</v>
      </c>
      <c r="E89" s="747"/>
      <c r="F89" s="1811"/>
      <c r="G89" s="1063"/>
      <c r="H89" s="1066" t="str">
        <f t="shared" si="23"/>
        <v>——</v>
      </c>
      <c r="I89" s="3363">
        <v>0.06</v>
      </c>
      <c r="J89" s="1064">
        <f t="shared" si="24"/>
        <v>0</v>
      </c>
      <c r="K89" s="1064">
        <f t="shared" si="25"/>
        <v>0</v>
      </c>
      <c r="L89" s="1064">
        <v>0</v>
      </c>
      <c r="M89" s="1064">
        <f t="shared" si="26"/>
        <v>0</v>
      </c>
      <c r="N89" s="1064">
        <f t="shared" si="26"/>
        <v>0</v>
      </c>
    </row>
    <row r="90" spans="1:37" ht="39" thickBot="1">
      <c r="A90" s="2135" t="s">
        <v>2068</v>
      </c>
      <c r="B90" s="2140" t="str">
        <f>估价对象房地状况!G18</f>
        <v>该园区内是否有污染型企业，绿化情况，卫生条件，整体环境状况判断</v>
      </c>
      <c r="C90" s="2041"/>
      <c r="D90" s="1065">
        <f t="shared" si="22"/>
        <v>0</v>
      </c>
      <c r="E90" s="748"/>
      <c r="F90" s="1811"/>
      <c r="G90" s="1063"/>
      <c r="H90" s="1066" t="str">
        <f t="shared" si="23"/>
        <v>——</v>
      </c>
      <c r="I90" s="3364">
        <v>0.05</v>
      </c>
      <c r="J90" s="1064">
        <f t="shared" si="24"/>
        <v>0</v>
      </c>
      <c r="K90" s="1064">
        <f t="shared" si="25"/>
        <v>0</v>
      </c>
      <c r="L90" s="1064">
        <v>0</v>
      </c>
      <c r="M90" s="1064">
        <f t="shared" si="26"/>
        <v>0</v>
      </c>
      <c r="N90" s="1064">
        <f t="shared" si="26"/>
        <v>0</v>
      </c>
    </row>
    <row r="91" spans="1:37" ht="15">
      <c r="A91" s="3373" t="s">
        <v>2610</v>
      </c>
      <c r="B91" s="3374">
        <f>1+E93</f>
        <v>1</v>
      </c>
      <c r="C91" s="3367"/>
      <c r="D91" s="3368"/>
      <c r="E91" s="1811"/>
      <c r="F91" s="1811"/>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5"/>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3271</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3267</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3272</v>
      </c>
      <c r="B96" s="3381" t="s">
        <v>3283</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3273</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3274</v>
      </c>
      <c r="B98" s="3382" t="s">
        <v>3284</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3275</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3276</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3277</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39" t="s">
        <v>3292</v>
      </c>
      <c r="B103" s="3839"/>
      <c r="C103" s="3839"/>
      <c r="D103" s="3839"/>
      <c r="E103" s="3839"/>
      <c r="F103" s="3839"/>
      <c r="G103" s="3839"/>
      <c r="H103" s="3839"/>
      <c r="I103" s="3839"/>
      <c r="J103" s="3839"/>
      <c r="K103" s="3386"/>
      <c r="L103" s="3386"/>
      <c r="M103" s="3386"/>
      <c r="N103" s="3386"/>
    </row>
    <row r="104" spans="1:14">
      <c r="A104" s="3840" t="s">
        <v>3293</v>
      </c>
      <c r="B104" s="3840" t="s">
        <v>3294</v>
      </c>
      <c r="C104" s="3387" t="s">
        <v>3295</v>
      </c>
      <c r="D104" s="3388"/>
      <c r="E104" s="3388"/>
      <c r="F104" s="3388"/>
      <c r="G104" s="3388"/>
      <c r="H104" s="3388"/>
      <c r="I104" s="3388"/>
      <c r="J104" s="3389"/>
      <c r="K104" s="3390"/>
      <c r="L104" s="3390"/>
      <c r="M104" s="3390"/>
      <c r="N104" s="3390"/>
    </row>
    <row r="105" spans="1:14">
      <c r="A105" s="3840"/>
      <c r="B105" s="3840"/>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826"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2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2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2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2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27"/>
      <c r="B111" s="3391" t="s">
        <v>3266</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2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29" t="s">
        <v>3309</v>
      </c>
      <c r="B113" s="3829"/>
      <c r="C113" s="3829"/>
      <c r="D113" s="3829"/>
      <c r="E113" s="3829"/>
      <c r="F113" s="3829"/>
      <c r="G113" s="3829"/>
      <c r="H113" s="3829"/>
      <c r="I113" s="3829"/>
      <c r="J113" s="382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0</v>
      </c>
      <c r="C116" s="3396" t="s">
        <v>3311</v>
      </c>
      <c r="D116" s="3397">
        <f>SUMPRODUCT((A118:A122=F116)*(B117:M117=H116)*B118:M122)</f>
        <v>0</v>
      </c>
      <c r="E116" s="1997" t="s">
        <v>3312</v>
      </c>
      <c r="F116" s="3398">
        <f>E2</f>
        <v>0</v>
      </c>
      <c r="G116" s="1997" t="s">
        <v>3313</v>
      </c>
      <c r="H116" s="3398">
        <f>G2</f>
        <v>0</v>
      </c>
      <c r="I116" s="1997"/>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3327</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3328</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3329</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2610</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854" t="s">
        <v>2605</v>
      </c>
      <c r="B20" s="3849" t="s">
        <v>2626</v>
      </c>
      <c r="C20" s="3099" t="s">
        <v>2437</v>
      </c>
      <c r="D20" s="3100"/>
      <c r="E20" s="3101">
        <v>1</v>
      </c>
      <c r="F20" s="3102" t="s">
        <v>2438</v>
      </c>
      <c r="G20" s="3102"/>
    </row>
    <row r="21" spans="1:13" ht="19.5" customHeight="1">
      <c r="A21" s="3855"/>
      <c r="B21" s="3848"/>
      <c r="C21" s="3103" t="s">
        <v>2439</v>
      </c>
      <c r="D21" s="3104"/>
      <c r="E21" s="3105">
        <v>1</v>
      </c>
      <c r="F21" s="3102" t="s">
        <v>2440</v>
      </c>
      <c r="G21" s="3102"/>
    </row>
    <row r="22" spans="1:13" ht="19.5" customHeight="1">
      <c r="A22" s="3855"/>
      <c r="B22" s="3848"/>
      <c r="C22" s="3103" t="s">
        <v>2441</v>
      </c>
      <c r="D22" s="3104"/>
      <c r="E22" s="3105">
        <v>0.9</v>
      </c>
      <c r="F22" s="3102" t="s">
        <v>2442</v>
      </c>
      <c r="G22" s="3102"/>
    </row>
    <row r="23" spans="1:13" ht="19.5" customHeight="1">
      <c r="A23" s="3855"/>
      <c r="B23" s="3848"/>
      <c r="C23" s="3103" t="s">
        <v>2443</v>
      </c>
      <c r="D23" s="3104"/>
      <c r="E23" s="3105">
        <v>0.9</v>
      </c>
      <c r="F23" s="3102" t="s">
        <v>2444</v>
      </c>
      <c r="G23" s="3102"/>
    </row>
    <row r="24" spans="1:13" ht="19.5" customHeight="1">
      <c r="A24" s="3855"/>
      <c r="B24" s="3848"/>
      <c r="C24" s="3103" t="s">
        <v>2445</v>
      </c>
      <c r="D24" s="3104"/>
      <c r="E24" s="3105">
        <v>0.8</v>
      </c>
      <c r="F24" s="3102" t="s">
        <v>2446</v>
      </c>
      <c r="G24" s="3102"/>
    </row>
    <row r="25" spans="1:13" ht="19.5" customHeight="1" thickBot="1">
      <c r="A25" s="3856"/>
      <c r="B25" s="3850"/>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851" t="s">
        <v>2629</v>
      </c>
      <c r="B27" s="3849" t="s">
        <v>2610</v>
      </c>
      <c r="C27" s="3099" t="s">
        <v>2450</v>
      </c>
      <c r="D27" s="3100"/>
      <c r="E27" s="3101">
        <v>1</v>
      </c>
      <c r="F27" s="3102" t="s">
        <v>2451</v>
      </c>
      <c r="G27" s="3102"/>
    </row>
    <row r="28" spans="1:13" ht="19.5" customHeight="1">
      <c r="A28" s="3852"/>
      <c r="B28" s="3848"/>
      <c r="C28" s="3103" t="s">
        <v>2452</v>
      </c>
      <c r="D28" s="3104"/>
      <c r="E28" s="3105">
        <v>1</v>
      </c>
      <c r="F28" s="3102" t="s">
        <v>2453</v>
      </c>
      <c r="G28" s="3102"/>
    </row>
    <row r="29" spans="1:13" ht="19.5" customHeight="1">
      <c r="A29" s="3852"/>
      <c r="B29" s="3848"/>
      <c r="C29" s="3103" t="s">
        <v>2454</v>
      </c>
      <c r="D29" s="3104"/>
      <c r="E29" s="3105">
        <v>0.8</v>
      </c>
      <c r="F29" s="3102" t="s">
        <v>2455</v>
      </c>
      <c r="G29" s="3102"/>
    </row>
    <row r="30" spans="1:13" ht="19.5" customHeight="1">
      <c r="A30" s="3852"/>
      <c r="B30" s="3848"/>
      <c r="C30" s="3103" t="s">
        <v>2456</v>
      </c>
      <c r="D30" s="3104"/>
      <c r="E30" s="3105">
        <v>0.8</v>
      </c>
      <c r="F30" s="3102" t="s">
        <v>2457</v>
      </c>
      <c r="G30" s="3102"/>
    </row>
    <row r="31" spans="1:13" ht="19.5" customHeight="1">
      <c r="A31" s="3852"/>
      <c r="B31" s="3848"/>
      <c r="C31" s="3103" t="s">
        <v>2458</v>
      </c>
      <c r="D31" s="3104"/>
      <c r="E31" s="3105">
        <v>0.8</v>
      </c>
      <c r="F31" s="3102" t="s">
        <v>2459</v>
      </c>
      <c r="G31" s="3102"/>
    </row>
    <row r="32" spans="1:13" ht="19.5" customHeight="1">
      <c r="A32" s="3852"/>
      <c r="B32" s="3848"/>
      <c r="C32" s="3103" t="s">
        <v>2460</v>
      </c>
      <c r="D32" s="3104"/>
      <c r="E32" s="3105">
        <v>0.7</v>
      </c>
      <c r="F32" s="3102" t="s">
        <v>2461</v>
      </c>
      <c r="G32" s="3102"/>
    </row>
    <row r="33" spans="1:7" ht="19.5" customHeight="1">
      <c r="A33" s="3852"/>
      <c r="B33" s="3848"/>
      <c r="C33" s="3103" t="s">
        <v>2462</v>
      </c>
      <c r="D33" s="3104"/>
      <c r="E33" s="3105">
        <v>0.8</v>
      </c>
      <c r="F33" s="3102" t="s">
        <v>2463</v>
      </c>
      <c r="G33" s="3102"/>
    </row>
    <row r="34" spans="1:7" ht="19.5" customHeight="1">
      <c r="A34" s="3852"/>
      <c r="B34" s="3848"/>
      <c r="C34" s="3103" t="s">
        <v>2464</v>
      </c>
      <c r="D34" s="3104"/>
      <c r="E34" s="3105">
        <v>0.6</v>
      </c>
      <c r="F34" s="3102" t="s">
        <v>2465</v>
      </c>
      <c r="G34" s="3102"/>
    </row>
    <row r="35" spans="1:7" ht="19.5" customHeight="1">
      <c r="A35" s="3852"/>
      <c r="B35" s="3848"/>
      <c r="C35" s="3103" t="s">
        <v>2466</v>
      </c>
      <c r="D35" s="3104"/>
      <c r="E35" s="3105">
        <v>0.2</v>
      </c>
      <c r="F35" s="3102" t="s">
        <v>2467</v>
      </c>
      <c r="G35" s="3102"/>
    </row>
    <row r="36" spans="1:7" ht="19.5" customHeight="1">
      <c r="A36" s="3852"/>
      <c r="B36" s="3848"/>
      <c r="C36" s="3103" t="s">
        <v>2468</v>
      </c>
      <c r="D36" s="3104"/>
      <c r="E36" s="3105">
        <v>0.2</v>
      </c>
      <c r="F36" s="3102" t="s">
        <v>2469</v>
      </c>
      <c r="G36" s="3102"/>
    </row>
    <row r="37" spans="1:7" ht="19.5" customHeight="1">
      <c r="A37" s="3852"/>
      <c r="B37" s="3846" t="s">
        <v>2630</v>
      </c>
      <c r="C37" s="3103" t="s">
        <v>2470</v>
      </c>
      <c r="D37" s="3104"/>
      <c r="E37" s="3105">
        <v>0.6</v>
      </c>
      <c r="F37" s="3102" t="s">
        <v>2471</v>
      </c>
      <c r="G37" s="3102"/>
    </row>
    <row r="38" spans="1:7" ht="19.5" customHeight="1">
      <c r="A38" s="3852"/>
      <c r="B38" s="3848"/>
      <c r="C38" s="3103" t="s">
        <v>2472</v>
      </c>
      <c r="D38" s="3104"/>
      <c r="E38" s="3105">
        <v>0.6</v>
      </c>
      <c r="F38" s="3102" t="s">
        <v>2473</v>
      </c>
      <c r="G38" s="3102"/>
    </row>
    <row r="39" spans="1:7" ht="19.5" customHeight="1" thickBot="1">
      <c r="A39" s="3853"/>
      <c r="B39" s="3850"/>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854" t="s">
        <v>2608</v>
      </c>
      <c r="B41" s="3849" t="s">
        <v>2632</v>
      </c>
      <c r="C41" s="3099" t="s">
        <v>2477</v>
      </c>
      <c r="D41" s="3100"/>
      <c r="E41" s="3101">
        <v>1</v>
      </c>
      <c r="F41" s="3102" t="s">
        <v>2478</v>
      </c>
      <c r="G41" s="3102"/>
    </row>
    <row r="42" spans="1:7" ht="19.5" customHeight="1">
      <c r="A42" s="3855"/>
      <c r="B42" s="3848"/>
      <c r="C42" s="3103" t="s">
        <v>2479</v>
      </c>
      <c r="D42" s="3104"/>
      <c r="E42" s="3105">
        <v>1</v>
      </c>
      <c r="F42" s="3102" t="s">
        <v>2480</v>
      </c>
      <c r="G42" s="3102"/>
    </row>
    <row r="43" spans="1:7" ht="19.5" customHeight="1">
      <c r="A43" s="3855"/>
      <c r="B43" s="3847"/>
      <c r="C43" s="3103" t="s">
        <v>2481</v>
      </c>
      <c r="D43" s="3104"/>
      <c r="E43" s="3105">
        <v>1.5</v>
      </c>
      <c r="F43" s="3102" t="s">
        <v>2482</v>
      </c>
      <c r="G43" s="3102"/>
    </row>
    <row r="44" spans="1:7" ht="19.5" customHeight="1">
      <c r="A44" s="3855"/>
      <c r="B44" s="3114" t="s">
        <v>2633</v>
      </c>
      <c r="C44" s="3103" t="s">
        <v>2634</v>
      </c>
      <c r="D44" s="3104"/>
      <c r="E44" s="3105">
        <v>2</v>
      </c>
      <c r="F44" s="3102" t="s">
        <v>2483</v>
      </c>
      <c r="G44" s="3102"/>
    </row>
    <row r="45" spans="1:7" ht="19.5" customHeight="1">
      <c r="A45" s="3855"/>
      <c r="B45" s="3846" t="s">
        <v>2635</v>
      </c>
      <c r="C45" s="3103" t="s">
        <v>2484</v>
      </c>
      <c r="D45" s="3104"/>
      <c r="E45" s="3105">
        <v>1</v>
      </c>
      <c r="F45" s="3102" t="s">
        <v>2485</v>
      </c>
      <c r="G45" s="3102"/>
    </row>
    <row r="46" spans="1:7" ht="19.5" customHeight="1">
      <c r="A46" s="3855"/>
      <c r="B46" s="3848"/>
      <c r="C46" s="3103" t="s">
        <v>2486</v>
      </c>
      <c r="D46" s="3104"/>
      <c r="E46" s="3105">
        <v>1</v>
      </c>
      <c r="F46" s="3102" t="s">
        <v>2487</v>
      </c>
      <c r="G46" s="3102"/>
    </row>
    <row r="47" spans="1:7" ht="19.5" customHeight="1">
      <c r="A47" s="3855"/>
      <c r="B47" s="3848"/>
      <c r="C47" s="3103" t="s">
        <v>2488</v>
      </c>
      <c r="D47" s="3104"/>
      <c r="E47" s="3105">
        <v>1</v>
      </c>
      <c r="F47" s="3102" t="s">
        <v>2489</v>
      </c>
      <c r="G47" s="3102"/>
    </row>
    <row r="48" spans="1:7" ht="19.5" customHeight="1">
      <c r="A48" s="3855"/>
      <c r="B48" s="3848"/>
      <c r="C48" s="3103" t="s">
        <v>2490</v>
      </c>
      <c r="D48" s="3104"/>
      <c r="E48" s="3105">
        <v>1</v>
      </c>
      <c r="F48" s="3102" t="s">
        <v>2491</v>
      </c>
      <c r="G48" s="3102"/>
    </row>
    <row r="49" spans="1:7" ht="19.5" customHeight="1">
      <c r="A49" s="3855"/>
      <c r="B49" s="3848"/>
      <c r="C49" s="3103" t="s">
        <v>2492</v>
      </c>
      <c r="D49" s="3104"/>
      <c r="E49" s="3105">
        <v>1</v>
      </c>
      <c r="F49" s="3102" t="s">
        <v>2493</v>
      </c>
      <c r="G49" s="3102"/>
    </row>
    <row r="50" spans="1:7" ht="19.5" customHeight="1">
      <c r="A50" s="3855"/>
      <c r="B50" s="3848"/>
      <c r="C50" s="3103" t="s">
        <v>2494</v>
      </c>
      <c r="D50" s="3104"/>
      <c r="E50" s="3105">
        <v>1</v>
      </c>
      <c r="F50" s="3102" t="s">
        <v>2495</v>
      </c>
      <c r="G50" s="3102"/>
    </row>
    <row r="51" spans="1:7" ht="19.5" customHeight="1" thickBot="1">
      <c r="A51" s="3856"/>
      <c r="B51" s="3850"/>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846" t="s">
        <v>2649</v>
      </c>
      <c r="C73" s="3088" t="s">
        <v>2650</v>
      </c>
      <c r="D73" s="3088" t="s">
        <v>2651</v>
      </c>
      <c r="E73" s="3114">
        <v>0.2</v>
      </c>
      <c r="F73" s="3114">
        <v>25</v>
      </c>
    </row>
    <row r="74" spans="1:7" ht="24">
      <c r="A74" s="3114">
        <v>2</v>
      </c>
      <c r="B74" s="3848"/>
      <c r="C74" s="3088" t="s">
        <v>2652</v>
      </c>
      <c r="D74" s="3088" t="s">
        <v>2653</v>
      </c>
      <c r="E74" s="3114">
        <v>0.2</v>
      </c>
      <c r="F74" s="3114">
        <v>25</v>
      </c>
    </row>
    <row r="75" spans="1:7" ht="24">
      <c r="A75" s="3114">
        <v>3</v>
      </c>
      <c r="B75" s="3848"/>
      <c r="C75" s="3088" t="s">
        <v>2654</v>
      </c>
      <c r="D75" s="3088" t="s">
        <v>2655</v>
      </c>
      <c r="E75" s="3114">
        <v>0.2</v>
      </c>
      <c r="F75" s="3114">
        <v>25</v>
      </c>
    </row>
    <row r="76" spans="1:7" ht="13.5">
      <c r="A76" s="3114">
        <v>4</v>
      </c>
      <c r="B76" s="3848"/>
      <c r="C76" s="3088" t="s">
        <v>2656</v>
      </c>
      <c r="D76" s="3088" t="s">
        <v>2657</v>
      </c>
      <c r="E76" s="3114">
        <v>0.15</v>
      </c>
      <c r="F76" s="3114">
        <v>20</v>
      </c>
    </row>
    <row r="77" spans="1:7" ht="24">
      <c r="A77" s="3114">
        <v>5</v>
      </c>
      <c r="B77" s="3848"/>
      <c r="C77" s="3088" t="s">
        <v>2658</v>
      </c>
      <c r="D77" s="3088" t="s">
        <v>2659</v>
      </c>
      <c r="E77" s="3114">
        <v>0.15</v>
      </c>
      <c r="F77" s="3114">
        <v>20</v>
      </c>
    </row>
    <row r="78" spans="1:7" ht="24">
      <c r="A78" s="3114">
        <v>6</v>
      </c>
      <c r="B78" s="3848"/>
      <c r="C78" s="3088" t="s">
        <v>2660</v>
      </c>
      <c r="D78" s="3088" t="s">
        <v>2661</v>
      </c>
      <c r="E78" s="3114">
        <v>0.15</v>
      </c>
      <c r="F78" s="3114">
        <v>20</v>
      </c>
    </row>
    <row r="79" spans="1:7" ht="24">
      <c r="A79" s="3114">
        <v>7</v>
      </c>
      <c r="B79" s="3848"/>
      <c r="C79" s="3088" t="s">
        <v>2662</v>
      </c>
      <c r="D79" s="3088" t="s">
        <v>2663</v>
      </c>
      <c r="E79" s="3114">
        <v>0.15</v>
      </c>
      <c r="F79" s="3114">
        <v>20</v>
      </c>
    </row>
    <row r="80" spans="1:7" ht="24">
      <c r="A80" s="3114">
        <v>8</v>
      </c>
      <c r="B80" s="3848"/>
      <c r="C80" s="3088" t="s">
        <v>2664</v>
      </c>
      <c r="D80" s="3088" t="s">
        <v>2665</v>
      </c>
      <c r="E80" s="3114">
        <v>0.1</v>
      </c>
      <c r="F80" s="3114">
        <v>15</v>
      </c>
    </row>
    <row r="81" spans="1:6" ht="24">
      <c r="A81" s="3114">
        <v>9</v>
      </c>
      <c r="B81" s="3848"/>
      <c r="C81" s="3088" t="s">
        <v>2666</v>
      </c>
      <c r="D81" s="3088" t="s">
        <v>2667</v>
      </c>
      <c r="E81" s="3114">
        <v>0.1</v>
      </c>
      <c r="F81" s="3114">
        <v>15</v>
      </c>
    </row>
    <row r="82" spans="1:6" ht="24">
      <c r="A82" s="3114">
        <v>10</v>
      </c>
      <c r="B82" s="3848"/>
      <c r="C82" s="3088" t="s">
        <v>2668</v>
      </c>
      <c r="D82" s="3088" t="s">
        <v>2669</v>
      </c>
      <c r="E82" s="3114">
        <v>0.1</v>
      </c>
      <c r="F82" s="3114">
        <v>15</v>
      </c>
    </row>
    <row r="83" spans="1:6" ht="24">
      <c r="A83" s="3114">
        <v>11</v>
      </c>
      <c r="B83" s="3848"/>
      <c r="C83" s="3088" t="s">
        <v>2670</v>
      </c>
      <c r="D83" s="3088" t="s">
        <v>2671</v>
      </c>
      <c r="E83" s="3114">
        <v>0.1</v>
      </c>
      <c r="F83" s="3114">
        <v>15</v>
      </c>
    </row>
    <row r="84" spans="1:6" ht="24">
      <c r="A84" s="3114">
        <v>12</v>
      </c>
      <c r="B84" s="3848"/>
      <c r="C84" s="3088" t="s">
        <v>2672</v>
      </c>
      <c r="D84" s="3088" t="s">
        <v>2673</v>
      </c>
      <c r="E84" s="3114">
        <v>0.1</v>
      </c>
      <c r="F84" s="3114">
        <v>15</v>
      </c>
    </row>
    <row r="85" spans="1:6" ht="13.5">
      <c r="A85" s="3114">
        <v>13</v>
      </c>
      <c r="B85" s="3848"/>
      <c r="C85" s="3088" t="s">
        <v>2674</v>
      </c>
      <c r="D85" s="3088" t="s">
        <v>2675</v>
      </c>
      <c r="E85" s="3114">
        <v>0.1</v>
      </c>
      <c r="F85" s="3114">
        <v>15</v>
      </c>
    </row>
    <row r="86" spans="1:6" ht="13.5">
      <c r="A86" s="3114">
        <v>14</v>
      </c>
      <c r="B86" s="3848"/>
      <c r="C86" s="3088" t="s">
        <v>2676</v>
      </c>
      <c r="D86" s="3088" t="s">
        <v>2677</v>
      </c>
      <c r="E86" s="3114">
        <v>0.1</v>
      </c>
      <c r="F86" s="3114">
        <v>15</v>
      </c>
    </row>
    <row r="87" spans="1:6" ht="13.5">
      <c r="A87" s="3114">
        <v>15</v>
      </c>
      <c r="B87" s="3848"/>
      <c r="C87" s="3088" t="s">
        <v>2678</v>
      </c>
      <c r="D87" s="3088" t="s">
        <v>2679</v>
      </c>
      <c r="E87" s="3114">
        <v>0.1</v>
      </c>
      <c r="F87" s="3114">
        <v>15</v>
      </c>
    </row>
    <row r="88" spans="1:6" ht="24">
      <c r="A88" s="3114">
        <v>16</v>
      </c>
      <c r="B88" s="3848"/>
      <c r="C88" s="3088" t="s">
        <v>2680</v>
      </c>
      <c r="D88" s="3088" t="s">
        <v>2681</v>
      </c>
      <c r="E88" s="3114">
        <v>0.1</v>
      </c>
      <c r="F88" s="3114">
        <v>15</v>
      </c>
    </row>
    <row r="89" spans="1:6" ht="24">
      <c r="A89" s="3114">
        <v>17</v>
      </c>
      <c r="B89" s="3847"/>
      <c r="C89" s="3088" t="s">
        <v>2682</v>
      </c>
      <c r="D89" s="3088" t="s">
        <v>2683</v>
      </c>
      <c r="E89" s="3114">
        <v>0.1</v>
      </c>
      <c r="F89" s="3114">
        <v>15</v>
      </c>
    </row>
    <row r="90" spans="1:6" ht="13.5">
      <c r="A90" s="3114">
        <v>18</v>
      </c>
      <c r="B90" s="3846" t="s">
        <v>2684</v>
      </c>
      <c r="C90" s="3088" t="s">
        <v>2685</v>
      </c>
      <c r="D90" s="3088" t="s">
        <v>2686</v>
      </c>
      <c r="E90" s="3114">
        <v>0.2</v>
      </c>
      <c r="F90" s="3114">
        <v>25</v>
      </c>
    </row>
    <row r="91" spans="1:6" ht="24">
      <c r="A91" s="3114">
        <v>19</v>
      </c>
      <c r="B91" s="3848"/>
      <c r="C91" s="3088" t="s">
        <v>2687</v>
      </c>
      <c r="D91" s="3088" t="s">
        <v>2688</v>
      </c>
      <c r="E91" s="3114">
        <v>0.2</v>
      </c>
      <c r="F91" s="3114">
        <v>25</v>
      </c>
    </row>
    <row r="92" spans="1:6" ht="13.5">
      <c r="A92" s="3114">
        <v>20</v>
      </c>
      <c r="B92" s="3848"/>
      <c r="C92" s="3088" t="s">
        <v>2689</v>
      </c>
      <c r="D92" s="3088" t="s">
        <v>2690</v>
      </c>
      <c r="E92" s="3114">
        <v>0.15</v>
      </c>
      <c r="F92" s="3114">
        <v>20</v>
      </c>
    </row>
    <row r="93" spans="1:6" ht="13.5">
      <c r="A93" s="3114">
        <v>21</v>
      </c>
      <c r="B93" s="3848"/>
      <c r="C93" s="3088" t="s">
        <v>2691</v>
      </c>
      <c r="D93" s="3088" t="s">
        <v>2692</v>
      </c>
      <c r="E93" s="3114">
        <v>0.15</v>
      </c>
      <c r="F93" s="3114">
        <v>20</v>
      </c>
    </row>
    <row r="94" spans="1:6" ht="13.5">
      <c r="A94" s="3114">
        <v>22</v>
      </c>
      <c r="B94" s="3848"/>
      <c r="C94" s="3088" t="s">
        <v>2693</v>
      </c>
      <c r="D94" s="3088" t="s">
        <v>2694</v>
      </c>
      <c r="E94" s="3114">
        <v>0.15</v>
      </c>
      <c r="F94" s="3114">
        <v>20</v>
      </c>
    </row>
    <row r="95" spans="1:6" ht="36">
      <c r="A95" s="3114">
        <v>23</v>
      </c>
      <c r="B95" s="3848"/>
      <c r="C95" s="3088" t="s">
        <v>2695</v>
      </c>
      <c r="D95" s="3088" t="s">
        <v>2696</v>
      </c>
      <c r="E95" s="3114">
        <v>0.15</v>
      </c>
      <c r="F95" s="3114">
        <v>20</v>
      </c>
    </row>
    <row r="96" spans="1:6" ht="13.5">
      <c r="A96" s="3114">
        <v>24</v>
      </c>
      <c r="B96" s="3848"/>
      <c r="C96" s="3088" t="s">
        <v>2697</v>
      </c>
      <c r="D96" s="3088" t="s">
        <v>2698</v>
      </c>
      <c r="E96" s="3114">
        <v>0.1</v>
      </c>
      <c r="F96" s="3114">
        <v>15</v>
      </c>
    </row>
    <row r="97" spans="1:6" ht="13.5">
      <c r="A97" s="3114">
        <v>25</v>
      </c>
      <c r="B97" s="3848"/>
      <c r="C97" s="3088" t="s">
        <v>2699</v>
      </c>
      <c r="D97" s="3088" t="s">
        <v>2700</v>
      </c>
      <c r="E97" s="3114">
        <v>0.1</v>
      </c>
      <c r="F97" s="3114">
        <v>15</v>
      </c>
    </row>
    <row r="98" spans="1:6" ht="24">
      <c r="A98" s="3114">
        <v>26</v>
      </c>
      <c r="B98" s="3848"/>
      <c r="C98" s="3088" t="s">
        <v>2701</v>
      </c>
      <c r="D98" s="3088" t="s">
        <v>2702</v>
      </c>
      <c r="E98" s="3114">
        <v>0.1</v>
      </c>
      <c r="F98" s="3114">
        <v>15</v>
      </c>
    </row>
    <row r="99" spans="1:6" ht="24">
      <c r="A99" s="3114">
        <v>27</v>
      </c>
      <c r="B99" s="3848"/>
      <c r="C99" s="3088" t="s">
        <v>2703</v>
      </c>
      <c r="D99" s="3088" t="s">
        <v>2704</v>
      </c>
      <c r="E99" s="3114">
        <v>0.1</v>
      </c>
      <c r="F99" s="3114">
        <v>15</v>
      </c>
    </row>
    <row r="100" spans="1:6" ht="13.5">
      <c r="A100" s="3114">
        <v>28</v>
      </c>
      <c r="B100" s="3848"/>
      <c r="C100" s="3088" t="s">
        <v>2705</v>
      </c>
      <c r="D100" s="3088" t="s">
        <v>2706</v>
      </c>
      <c r="E100" s="3114">
        <v>0.1</v>
      </c>
      <c r="F100" s="3114">
        <v>15</v>
      </c>
    </row>
    <row r="101" spans="1:6" ht="13.5">
      <c r="A101" s="3114">
        <v>29</v>
      </c>
      <c r="B101" s="3848"/>
      <c r="C101" s="3088" t="s">
        <v>2707</v>
      </c>
      <c r="D101" s="3088" t="s">
        <v>2708</v>
      </c>
      <c r="E101" s="3114">
        <v>0.1</v>
      </c>
      <c r="F101" s="3114">
        <v>15</v>
      </c>
    </row>
    <row r="102" spans="1:6" ht="13.5">
      <c r="A102" s="3114">
        <v>30</v>
      </c>
      <c r="B102" s="3848"/>
      <c r="C102" s="3088" t="s">
        <v>2709</v>
      </c>
      <c r="D102" s="3088" t="s">
        <v>2710</v>
      </c>
      <c r="E102" s="3114">
        <v>0.1</v>
      </c>
      <c r="F102" s="3114">
        <v>15</v>
      </c>
    </row>
    <row r="103" spans="1:6" ht="24">
      <c r="A103" s="3114">
        <v>31</v>
      </c>
      <c r="B103" s="3848"/>
      <c r="C103" s="3088" t="s">
        <v>2711</v>
      </c>
      <c r="D103" s="3088" t="s">
        <v>2712</v>
      </c>
      <c r="E103" s="3114">
        <v>0.1</v>
      </c>
      <c r="F103" s="3114">
        <v>15</v>
      </c>
    </row>
    <row r="104" spans="1:6" ht="24">
      <c r="A104" s="3114">
        <v>32</v>
      </c>
      <c r="B104" s="3848"/>
      <c r="C104" s="3088" t="s">
        <v>2713</v>
      </c>
      <c r="D104" s="3088" t="s">
        <v>2714</v>
      </c>
      <c r="E104" s="3114">
        <v>0.1</v>
      </c>
      <c r="F104" s="3114">
        <v>15</v>
      </c>
    </row>
    <row r="105" spans="1:6" ht="24">
      <c r="A105" s="3114">
        <v>33</v>
      </c>
      <c r="B105" s="3848"/>
      <c r="C105" s="3088" t="s">
        <v>2715</v>
      </c>
      <c r="D105" s="3088" t="s">
        <v>2716</v>
      </c>
      <c r="E105" s="3114">
        <v>0.1</v>
      </c>
      <c r="F105" s="3114">
        <v>15</v>
      </c>
    </row>
    <row r="106" spans="1:6" ht="24">
      <c r="A106" s="3114">
        <v>34</v>
      </c>
      <c r="B106" s="3847"/>
      <c r="C106" s="3088" t="s">
        <v>2717</v>
      </c>
      <c r="D106" s="3088" t="s">
        <v>2718</v>
      </c>
      <c r="E106" s="3114">
        <v>0.1</v>
      </c>
      <c r="F106" s="3114">
        <v>15</v>
      </c>
    </row>
    <row r="107" spans="1:6" ht="24">
      <c r="A107" s="3114">
        <v>35</v>
      </c>
      <c r="B107" s="3846" t="s">
        <v>2719</v>
      </c>
      <c r="C107" s="3114" t="s">
        <v>2720</v>
      </c>
      <c r="D107" s="3088" t="s">
        <v>2721</v>
      </c>
      <c r="E107" s="3114">
        <v>0.15</v>
      </c>
      <c r="F107" s="3114">
        <v>20</v>
      </c>
    </row>
    <row r="108" spans="1:6" ht="13.5">
      <c r="A108" s="3114">
        <v>36</v>
      </c>
      <c r="B108" s="3848"/>
      <c r="C108" s="3114" t="s">
        <v>2722</v>
      </c>
      <c r="D108" s="3088" t="s">
        <v>2723</v>
      </c>
      <c r="E108" s="3114">
        <v>0.15</v>
      </c>
      <c r="F108" s="3114">
        <v>20</v>
      </c>
    </row>
    <row r="109" spans="1:6" ht="13.5">
      <c r="A109" s="3114">
        <v>37</v>
      </c>
      <c r="B109" s="3848"/>
      <c r="C109" s="3114" t="s">
        <v>2724</v>
      </c>
      <c r="D109" s="3088" t="s">
        <v>2725</v>
      </c>
      <c r="E109" s="3114">
        <v>0.15</v>
      </c>
      <c r="F109" s="3114">
        <v>20</v>
      </c>
    </row>
    <row r="110" spans="1:6" ht="13.5">
      <c r="A110" s="3114">
        <v>38</v>
      </c>
      <c r="B110" s="3848"/>
      <c r="C110" s="3114" t="s">
        <v>2726</v>
      </c>
      <c r="D110" s="3088" t="s">
        <v>2727</v>
      </c>
      <c r="E110" s="3114">
        <v>0.1</v>
      </c>
      <c r="F110" s="3114">
        <v>15</v>
      </c>
    </row>
    <row r="111" spans="1:6" ht="24">
      <c r="A111" s="3114">
        <v>39</v>
      </c>
      <c r="B111" s="3848"/>
      <c r="C111" s="3114" t="s">
        <v>2728</v>
      </c>
      <c r="D111" s="3088" t="s">
        <v>2729</v>
      </c>
      <c r="E111" s="3114">
        <v>0.1</v>
      </c>
      <c r="F111" s="3114">
        <v>15</v>
      </c>
    </row>
    <row r="112" spans="1:6" ht="24">
      <c r="A112" s="3114">
        <v>40</v>
      </c>
      <c r="B112" s="3847"/>
      <c r="C112" s="3114" t="s">
        <v>2730</v>
      </c>
      <c r="D112" s="3088" t="s">
        <v>2731</v>
      </c>
      <c r="E112" s="3114">
        <v>0.1</v>
      </c>
      <c r="F112" s="3114">
        <v>15</v>
      </c>
    </row>
    <row r="113" spans="1:6" ht="13.5">
      <c r="A113" s="3114">
        <v>41</v>
      </c>
      <c r="B113" s="3845" t="s">
        <v>2732</v>
      </c>
      <c r="C113" s="3114" t="s">
        <v>2733</v>
      </c>
      <c r="D113" s="3088" t="s">
        <v>2734</v>
      </c>
      <c r="E113" s="3114">
        <v>0.1</v>
      </c>
      <c r="F113" s="3114">
        <v>15</v>
      </c>
    </row>
    <row r="114" spans="1:6" ht="13.5">
      <c r="A114" s="3114">
        <v>42</v>
      </c>
      <c r="B114" s="3845"/>
      <c r="C114" s="3114" t="s">
        <v>2735</v>
      </c>
      <c r="D114" s="3088" t="s">
        <v>2736</v>
      </c>
      <c r="E114" s="3114">
        <v>0.1</v>
      </c>
      <c r="F114" s="3114">
        <v>15</v>
      </c>
    </row>
    <row r="115" spans="1:6" ht="24">
      <c r="A115" s="3114">
        <v>43</v>
      </c>
      <c r="B115" s="3845"/>
      <c r="C115" s="3114" t="s">
        <v>2737</v>
      </c>
      <c r="D115" s="3088" t="s">
        <v>2738</v>
      </c>
      <c r="E115" s="3114">
        <v>0.1</v>
      </c>
      <c r="F115" s="3114">
        <v>15</v>
      </c>
    </row>
    <row r="116" spans="1:6" ht="13.5">
      <c r="A116" s="3114">
        <v>44</v>
      </c>
      <c r="B116" s="3846" t="s">
        <v>2739</v>
      </c>
      <c r="C116" s="3114" t="s">
        <v>2740</v>
      </c>
      <c r="D116" s="3088" t="s">
        <v>2741</v>
      </c>
      <c r="E116" s="3114">
        <v>0.1</v>
      </c>
      <c r="F116" s="3114">
        <v>15</v>
      </c>
    </row>
    <row r="117" spans="1:6" ht="24">
      <c r="A117" s="3114">
        <v>45</v>
      </c>
      <c r="B117" s="3847"/>
      <c r="C117" s="3088" t="s">
        <v>2742</v>
      </c>
      <c r="D117" s="3088" t="s">
        <v>2743</v>
      </c>
      <c r="E117" s="3114">
        <v>0.1</v>
      </c>
      <c r="F117" s="3114">
        <v>15</v>
      </c>
    </row>
    <row r="118" spans="1:6" ht="24">
      <c r="A118" s="3114">
        <v>46</v>
      </c>
      <c r="B118" s="3846" t="s">
        <v>2744</v>
      </c>
      <c r="C118" s="3114" t="s">
        <v>2745</v>
      </c>
      <c r="D118" s="3088" t="s">
        <v>2746</v>
      </c>
      <c r="E118" s="3114">
        <v>0.1</v>
      </c>
      <c r="F118" s="3114">
        <v>15</v>
      </c>
    </row>
    <row r="119" spans="1:6" ht="24">
      <c r="A119" s="3114">
        <v>47</v>
      </c>
      <c r="B119" s="3847"/>
      <c r="C119" s="3114" t="s">
        <v>2747</v>
      </c>
      <c r="D119" s="3088" t="s">
        <v>2748</v>
      </c>
      <c r="E119" s="3114">
        <v>0.1</v>
      </c>
      <c r="F119" s="3114">
        <v>15</v>
      </c>
    </row>
    <row r="120" spans="1:6" ht="13.5">
      <c r="A120" s="3114">
        <v>48</v>
      </c>
      <c r="B120" s="3846" t="s">
        <v>2749</v>
      </c>
      <c r="C120" s="3114" t="s">
        <v>2750</v>
      </c>
      <c r="D120" s="3088" t="s">
        <v>2751</v>
      </c>
      <c r="E120" s="3114">
        <v>0.1</v>
      </c>
      <c r="F120" s="3114">
        <v>15</v>
      </c>
    </row>
    <row r="121" spans="1:6" ht="13.5">
      <c r="A121" s="3114">
        <v>49</v>
      </c>
      <c r="B121" s="3847"/>
      <c r="C121" s="3114" t="s">
        <v>2752</v>
      </c>
      <c r="D121" s="3088" t="s">
        <v>2753</v>
      </c>
      <c r="E121" s="3114">
        <v>0.1</v>
      </c>
      <c r="F121" s="3114">
        <v>15</v>
      </c>
    </row>
    <row r="122" spans="1:6" ht="24">
      <c r="A122" s="3114">
        <v>50</v>
      </c>
      <c r="B122" s="3845" t="s">
        <v>2754</v>
      </c>
      <c r="C122" s="3114" t="s">
        <v>2755</v>
      </c>
      <c r="D122" s="3088" t="s">
        <v>2756</v>
      </c>
      <c r="E122" s="3114">
        <v>0.1</v>
      </c>
      <c r="F122" s="3114">
        <v>15</v>
      </c>
    </row>
    <row r="123" spans="1:6" ht="24">
      <c r="A123" s="3114">
        <v>51</v>
      </c>
      <c r="B123" s="3845"/>
      <c r="C123" s="3114" t="s">
        <v>2757</v>
      </c>
      <c r="D123" s="3088" t="s">
        <v>2758</v>
      </c>
      <c r="E123" s="3114">
        <v>0.1</v>
      </c>
      <c r="F123" s="3114">
        <v>15</v>
      </c>
    </row>
    <row r="124" spans="1:6" ht="24">
      <c r="A124" s="3114">
        <v>52</v>
      </c>
      <c r="B124" s="3845" t="s">
        <v>2759</v>
      </c>
      <c r="C124" s="3114" t="s">
        <v>2760</v>
      </c>
      <c r="D124" s="3088" t="s">
        <v>2761</v>
      </c>
      <c r="E124" s="3114">
        <v>0.1</v>
      </c>
      <c r="F124" s="3114">
        <v>15</v>
      </c>
    </row>
    <row r="125" spans="1:6" ht="24">
      <c r="A125" s="3114">
        <v>53</v>
      </c>
      <c r="B125" s="3845"/>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845" t="s">
        <v>2767</v>
      </c>
      <c r="C127" s="3114" t="s">
        <v>2768</v>
      </c>
      <c r="D127" s="3088" t="s">
        <v>2769</v>
      </c>
      <c r="E127" s="3114">
        <v>0.1</v>
      </c>
      <c r="F127" s="3114">
        <v>15</v>
      </c>
    </row>
    <row r="128" spans="1:6" ht="13.5">
      <c r="A128" s="3114">
        <v>56</v>
      </c>
      <c r="B128" s="3845"/>
      <c r="C128" s="3114" t="s">
        <v>2770</v>
      </c>
      <c r="D128" s="3088" t="s">
        <v>2771</v>
      </c>
      <c r="E128" s="3114">
        <v>0.1</v>
      </c>
      <c r="F128" s="3114">
        <v>15</v>
      </c>
    </row>
    <row r="129" spans="1:6" ht="24">
      <c r="A129" s="3114">
        <v>57</v>
      </c>
      <c r="B129" s="3845"/>
      <c r="C129" s="3114" t="s">
        <v>2772</v>
      </c>
      <c r="D129" s="3088" t="s">
        <v>2773</v>
      </c>
      <c r="E129" s="3114">
        <v>0.1</v>
      </c>
      <c r="F129" s="3114">
        <v>15</v>
      </c>
    </row>
    <row r="130" spans="1:6" ht="24">
      <c r="A130" s="3114">
        <v>58</v>
      </c>
      <c r="B130" s="3845" t="s">
        <v>2774</v>
      </c>
      <c r="C130" s="3114" t="s">
        <v>2775</v>
      </c>
      <c r="D130" s="3088" t="s">
        <v>2776</v>
      </c>
      <c r="E130" s="3114">
        <v>0.1</v>
      </c>
      <c r="F130" s="3114">
        <v>15</v>
      </c>
    </row>
    <row r="131" spans="1:6" ht="13.5">
      <c r="A131" s="3114">
        <v>59</v>
      </c>
      <c r="B131" s="3845"/>
      <c r="C131" s="3114" t="s">
        <v>2777</v>
      </c>
      <c r="D131" s="3088" t="s">
        <v>2778</v>
      </c>
      <c r="E131" s="3114">
        <v>0.1</v>
      </c>
      <c r="F131" s="3114">
        <v>15</v>
      </c>
    </row>
    <row r="132" spans="1:6" ht="13.5">
      <c r="A132" s="3114">
        <v>60</v>
      </c>
      <c r="B132" s="3846" t="s">
        <v>2779</v>
      </c>
      <c r="C132" s="3114" t="s">
        <v>2780</v>
      </c>
      <c r="D132" s="3088" t="s">
        <v>2781</v>
      </c>
      <c r="E132" s="3114">
        <v>0.1</v>
      </c>
      <c r="F132" s="3114">
        <v>15</v>
      </c>
    </row>
    <row r="133" spans="1:6" ht="13.5">
      <c r="A133" s="3114">
        <v>61</v>
      </c>
      <c r="B133" s="3847"/>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845" t="s">
        <v>2787</v>
      </c>
      <c r="C135" s="3114" t="s">
        <v>2788</v>
      </c>
      <c r="D135" s="3088" t="s">
        <v>2789</v>
      </c>
      <c r="E135" s="3114">
        <v>0.1</v>
      </c>
      <c r="F135" s="3114">
        <v>15</v>
      </c>
    </row>
    <row r="136" spans="1:6" ht="13.5">
      <c r="A136" s="3114">
        <v>64</v>
      </c>
      <c r="B136" s="3845"/>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0</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0</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125712</v>
      </c>
      <c r="C2" s="2" t="s">
        <v>106</v>
      </c>
      <c r="D2" s="199"/>
      <c r="E2" s="199"/>
      <c r="F2" s="199"/>
      <c r="G2" s="199"/>
    </row>
    <row r="3" spans="1:7" s="200" customFormat="1" ht="18" customHeight="1" thickBot="1">
      <c r="A3" s="203" t="s">
        <v>58</v>
      </c>
      <c r="B3" s="204">
        <f ca="1">ROUND(B2*10000/'数据-汇总表'!E3,0)</f>
        <v>4640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412</v>
      </c>
      <c r="F9" s="221"/>
      <c r="G9" s="226"/>
    </row>
    <row r="10" spans="1:7" s="214" customFormat="1" ht="13.5" customHeight="1">
      <c r="A10" s="779" t="s">
        <v>356</v>
      </c>
      <c r="B10" s="224" t="s">
        <v>67</v>
      </c>
      <c r="C10" s="225">
        <f>ROUND(D10*E10/10000,0)</f>
        <v>13006</v>
      </c>
      <c r="D10" s="845">
        <f>'数据-汇总表'!E6</f>
        <v>270951.53999999998</v>
      </c>
      <c r="E10" s="225">
        <f>'数据-取费表'!B28</f>
        <v>480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5419</v>
      </c>
      <c r="D19" s="849">
        <f>'数据-汇总表'!E3</f>
        <v>270951.53999999998</v>
      </c>
      <c r="E19" s="211">
        <f>'数据-取费表'!B31</f>
        <v>200</v>
      </c>
      <c r="F19" s="231"/>
      <c r="G19" s="1" t="s">
        <v>436</v>
      </c>
    </row>
    <row r="20" spans="1:7" s="214" customFormat="1" ht="13.5" customHeight="1">
      <c r="A20" s="777" t="s">
        <v>419</v>
      </c>
      <c r="B20" s="210" t="s">
        <v>77</v>
      </c>
      <c r="C20" s="232">
        <f>ROUND((C5+C19)*F20,0)</f>
        <v>521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1790</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369</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2655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2655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33546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75159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66419</v>
      </c>
      <c r="D34" s="217"/>
      <c r="E34" s="220"/>
      <c r="F34" s="257">
        <f>IF('数据-取费表'!B24=0,1,'数据-取费表'!N16)</f>
        <v>1</v>
      </c>
      <c r="G34" s="219" t="s">
        <v>89</v>
      </c>
    </row>
    <row r="35" spans="1:7" ht="13.5" customHeight="1">
      <c r="A35" s="780" t="s">
        <v>351</v>
      </c>
      <c r="B35" s="215" t="s">
        <v>33</v>
      </c>
      <c r="C35" s="220">
        <f>ROUND(C34*F35,0)</f>
        <v>1993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5419</v>
      </c>
      <c r="D37" s="217">
        <f>'数据-汇总表'!E3</f>
        <v>270951.53999999998</v>
      </c>
      <c r="E37" s="249">
        <f>'数据-取费表'!B35</f>
        <v>200</v>
      </c>
      <c r="F37" s="259"/>
      <c r="G37" s="261" t="s">
        <v>92</v>
      </c>
    </row>
    <row r="38" spans="1:7" ht="13.5" customHeight="1">
      <c r="A38" s="780" t="s">
        <v>354</v>
      </c>
      <c r="B38" s="215" t="s">
        <v>36</v>
      </c>
      <c r="C38" s="220">
        <f>ROUND(C34*F38,0)</f>
        <v>1328</v>
      </c>
      <c r="D38" s="220"/>
      <c r="E38" s="220"/>
      <c r="F38" s="259">
        <f>'数据-取费表'!B36</f>
        <v>0.02</v>
      </c>
      <c r="G38" s="219" t="s">
        <v>90</v>
      </c>
    </row>
    <row r="39" spans="1:7" s="214" customFormat="1" ht="13.5" customHeight="1">
      <c r="A39" s="777" t="s">
        <v>338</v>
      </c>
      <c r="B39" s="210" t="s">
        <v>77</v>
      </c>
      <c r="C39" s="232">
        <f>ROUND(C33*F20,0)</f>
        <v>1503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2568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2518</v>
      </c>
      <c r="D42" s="238"/>
      <c r="E42" s="238"/>
      <c r="F42" s="239"/>
      <c r="G42" s="3718" t="s">
        <v>94</v>
      </c>
    </row>
    <row r="43" spans="1:7" ht="13.5" customHeight="1">
      <c r="A43" s="780" t="s">
        <v>347</v>
      </c>
      <c r="B43" s="215" t="s">
        <v>426</v>
      </c>
      <c r="C43" s="238">
        <f ca="1">ROUND(IF('数据-取费表'!B22&lt;=1,C39*F22*'数据-取费表'!B21/2,C39*(POWER((1+F22),'数据-取费表'!B21/2)-1)),0)</f>
        <v>50</v>
      </c>
      <c r="D43" s="238"/>
      <c r="E43" s="238"/>
      <c r="F43" s="239"/>
      <c r="G43" s="3719"/>
    </row>
    <row r="44" spans="1:7" ht="13.5" customHeight="1">
      <c r="A44" s="780" t="s">
        <v>348</v>
      </c>
      <c r="B44" s="215" t="s">
        <v>428</v>
      </c>
      <c r="C44" s="238">
        <f ca="1">ROUND(IF('数据-取费表'!B22&lt;=1,C40*F22*'数据-取费表'!B21/2,C40*(POWER((1+F22),'数据-取费表'!B21/2)-1)),4)</f>
        <v>6.9999999999999999E-4</v>
      </c>
      <c r="D44" s="238"/>
      <c r="E44" s="238"/>
      <c r="F44" s="239"/>
      <c r="G44" s="3720"/>
    </row>
    <row r="45" spans="1:7" s="214" customFormat="1" ht="13.5" customHeight="1">
      <c r="A45" s="777" t="s">
        <v>341</v>
      </c>
      <c r="B45" s="244" t="s">
        <v>85</v>
      </c>
      <c r="C45" s="245">
        <f>C46</f>
        <v>7666</v>
      </c>
      <c r="D45" s="235">
        <f>C47</f>
        <v>2E-3</v>
      </c>
      <c r="E45" s="236" t="s">
        <v>102</v>
      </c>
      <c r="F45" s="246"/>
      <c r="G45" s="247" t="s">
        <v>434</v>
      </c>
    </row>
    <row r="46" spans="1:7" s="214" customFormat="1" ht="13.5" customHeight="1">
      <c r="A46" s="780" t="s">
        <v>349</v>
      </c>
      <c r="B46" s="248" t="s">
        <v>427</v>
      </c>
      <c r="C46" s="249">
        <f>ROUND((C33+C39)*F27,0)</f>
        <v>7666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94047</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92166</v>
      </c>
      <c r="D51" s="232"/>
      <c r="E51" s="232"/>
      <c r="F51" s="264"/>
      <c r="G51" s="234" t="s">
        <v>37</v>
      </c>
    </row>
    <row r="52" spans="1:7" s="208" customFormat="1" ht="16.5" thickBot="1">
      <c r="A52" s="265" t="s">
        <v>38</v>
      </c>
      <c r="B52" s="266"/>
      <c r="C52" s="267">
        <f ca="1">C31+C51</f>
        <v>125712</v>
      </c>
      <c r="D52" s="266"/>
      <c r="E52" s="266"/>
      <c r="F52" s="266"/>
      <c r="G52" s="268"/>
    </row>
    <row r="55" spans="1:7" ht="15">
      <c r="B55" s="270" t="s">
        <v>39</v>
      </c>
      <c r="C55" s="271"/>
    </row>
    <row r="56" spans="1:7">
      <c r="B56" s="273" t="s">
        <v>40</v>
      </c>
      <c r="C56" s="274">
        <f ca="1">ROUND(C51/C52,3)</f>
        <v>0.73299999999999998</v>
      </c>
    </row>
    <row r="57" spans="1:7">
      <c r="B57" s="273" t="s">
        <v>41</v>
      </c>
      <c r="C57" s="275">
        <f ca="1">1-C56</f>
        <v>0.26700000000000002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59" t="s">
        <v>2837</v>
      </c>
      <c r="B1" s="3859"/>
      <c r="C1" s="3859"/>
      <c r="D1" s="3859"/>
      <c r="E1" s="3859"/>
      <c r="F1" s="3859"/>
      <c r="G1" s="3860"/>
      <c r="I1" s="3219" t="s">
        <v>2838</v>
      </c>
      <c r="J1" s="3220" t="s">
        <v>2839</v>
      </c>
      <c r="K1" s="3220" t="s">
        <v>2840</v>
      </c>
      <c r="L1" s="3220" t="s">
        <v>2841</v>
      </c>
      <c r="M1" s="3220" t="s">
        <v>2842</v>
      </c>
      <c r="N1" s="3220" t="s">
        <v>2843</v>
      </c>
      <c r="O1" s="3220" t="s">
        <v>2844</v>
      </c>
      <c r="P1" s="3220" t="s">
        <v>2845</v>
      </c>
      <c r="Q1" s="3220" t="s">
        <v>2846</v>
      </c>
      <c r="R1" s="3220" t="s">
        <v>2847</v>
      </c>
      <c r="S1" s="3220" t="s">
        <v>2848</v>
      </c>
      <c r="T1" s="3221" t="s">
        <v>2849</v>
      </c>
    </row>
    <row r="2" spans="1:20" ht="12" thickBot="1">
      <c r="A2" s="3223" t="s">
        <v>2850</v>
      </c>
      <c r="B2" s="3223"/>
      <c r="C2" s="3223"/>
      <c r="D2" s="3223"/>
      <c r="E2" s="3223"/>
      <c r="F2" s="3223"/>
      <c r="G2" s="3224" t="s">
        <v>2851</v>
      </c>
      <c r="I2" s="3225" t="s">
        <v>2852</v>
      </c>
      <c r="J2" s="3225" t="s">
        <v>2853</v>
      </c>
      <c r="K2" s="3225" t="s">
        <v>2854</v>
      </c>
      <c r="L2" s="3225" t="s">
        <v>2855</v>
      </c>
      <c r="M2" s="3225" t="s">
        <v>2856</v>
      </c>
      <c r="N2" s="3225" t="s">
        <v>2857</v>
      </c>
      <c r="O2" s="3225" t="s">
        <v>2858</v>
      </c>
      <c r="P2" s="3225" t="s">
        <v>2859</v>
      </c>
      <c r="Q2" s="3225" t="s">
        <v>2860</v>
      </c>
      <c r="R2" s="3225" t="s">
        <v>2861</v>
      </c>
      <c r="S2" s="3225" t="s">
        <v>2862</v>
      </c>
      <c r="T2" s="3225" t="s">
        <v>2863</v>
      </c>
    </row>
    <row r="3" spans="1:20" s="3231" customFormat="1">
      <c r="A3" s="3857" t="s">
        <v>2864</v>
      </c>
      <c r="B3" s="3226"/>
      <c r="C3" s="3227" t="s">
        <v>2809</v>
      </c>
      <c r="D3" s="3227" t="s">
        <v>2865</v>
      </c>
      <c r="E3" s="3227" t="s">
        <v>2811</v>
      </c>
      <c r="F3" s="3227" t="s">
        <v>2866</v>
      </c>
      <c r="G3" s="3227" t="s">
        <v>2629</v>
      </c>
      <c r="H3" s="3228"/>
      <c r="I3" s="3229" t="s">
        <v>2867</v>
      </c>
      <c r="J3" s="3230" t="s">
        <v>128</v>
      </c>
      <c r="K3" s="3230" t="s">
        <v>129</v>
      </c>
      <c r="L3" s="3229" t="s">
        <v>130</v>
      </c>
      <c r="M3" s="3229" t="s">
        <v>131</v>
      </c>
      <c r="N3" s="3229" t="s">
        <v>132</v>
      </c>
      <c r="O3" s="3229" t="s">
        <v>133</v>
      </c>
      <c r="P3" s="3229" t="s">
        <v>134</v>
      </c>
      <c r="Q3" s="3229" t="s">
        <v>135</v>
      </c>
      <c r="R3" s="3229" t="s">
        <v>136</v>
      </c>
      <c r="S3" s="3229" t="s">
        <v>2868</v>
      </c>
      <c r="T3" s="3229" t="s">
        <v>2869</v>
      </c>
    </row>
    <row r="4" spans="1:20" s="3231" customFormat="1" ht="12" thickBot="1">
      <c r="A4" s="3858"/>
      <c r="B4" s="3232" t="s">
        <v>2870</v>
      </c>
      <c r="C4" s="3232" t="s">
        <v>2871</v>
      </c>
      <c r="D4" s="3232" t="s">
        <v>2871</v>
      </c>
      <c r="E4" s="3232" t="s">
        <v>2871</v>
      </c>
      <c r="F4" s="3233" t="s">
        <v>2871</v>
      </c>
      <c r="G4" s="3233" t="s">
        <v>2871</v>
      </c>
      <c r="H4" s="3228"/>
      <c r="I4" s="3230" t="s">
        <v>137</v>
      </c>
      <c r="J4" s="3230" t="s">
        <v>111</v>
      </c>
      <c r="K4" s="3230" t="s">
        <v>138</v>
      </c>
      <c r="L4" s="3229" t="s">
        <v>139</v>
      </c>
      <c r="M4" s="3229" t="s">
        <v>140</v>
      </c>
      <c r="N4" s="3229" t="s">
        <v>141</v>
      </c>
      <c r="O4" s="3229" t="s">
        <v>142</v>
      </c>
      <c r="P4" s="3229" t="s">
        <v>143</v>
      </c>
      <c r="Q4" s="3229" t="s">
        <v>2872</v>
      </c>
      <c r="R4" s="3229" t="s">
        <v>2873</v>
      </c>
      <c r="S4" s="3229" t="s">
        <v>2874</v>
      </c>
      <c r="T4" s="3229" t="s">
        <v>2875</v>
      </c>
    </row>
    <row r="5" spans="1:20">
      <c r="A5" s="3234" t="s">
        <v>2838</v>
      </c>
      <c r="B5" s="3225" t="s">
        <v>2852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2876</v>
      </c>
      <c r="R5" s="3229" t="s">
        <v>2877</v>
      </c>
      <c r="S5" s="3229" t="s">
        <v>153</v>
      </c>
      <c r="T5" s="3229" t="s">
        <v>2878</v>
      </c>
    </row>
    <row r="6" spans="1:20" ht="12" thickBot="1">
      <c r="A6" s="3229" t="s">
        <v>144</v>
      </c>
      <c r="B6" s="3229" t="s">
        <v>2867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2879</v>
      </c>
      <c r="Q6" s="3229" t="s">
        <v>2880</v>
      </c>
      <c r="R6" s="3229" t="s">
        <v>161</v>
      </c>
      <c r="S6" s="3229" t="s">
        <v>2881</v>
      </c>
      <c r="T6" s="3229" t="s">
        <v>2882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2883</v>
      </c>
      <c r="Q7" s="3229" t="s">
        <v>2884</v>
      </c>
      <c r="R7" s="3229" t="s">
        <v>2885</v>
      </c>
      <c r="S7" s="3229" t="s">
        <v>2886</v>
      </c>
      <c r="T7" s="3229" t="s">
        <v>2887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2888</v>
      </c>
      <c r="Q8" s="3229" t="s">
        <v>174</v>
      </c>
      <c r="R8" s="3229" t="s">
        <v>2889</v>
      </c>
      <c r="S8" s="3229" t="s">
        <v>2890</v>
      </c>
      <c r="T8" s="3236" t="s">
        <v>2891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2892</v>
      </c>
      <c r="Q9" s="3229" t="s">
        <v>182</v>
      </c>
      <c r="R9" s="3229" t="s">
        <v>183</v>
      </c>
      <c r="S9" s="3229" t="s">
        <v>200</v>
      </c>
    </row>
    <row r="10" spans="1:20">
      <c r="A10" s="3234" t="s">
        <v>184</v>
      </c>
      <c r="B10" s="3225" t="s">
        <v>2853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2894</v>
      </c>
      <c r="P11" s="3229" t="s">
        <v>191</v>
      </c>
      <c r="Q11" s="3229" t="s">
        <v>199</v>
      </c>
      <c r="R11" s="3229" t="s">
        <v>2895</v>
      </c>
      <c r="S11" s="3229" t="s">
        <v>2896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2897</v>
      </c>
      <c r="P12" s="3229" t="s">
        <v>2898</v>
      </c>
      <c r="Q12" s="3229" t="s">
        <v>2899</v>
      </c>
      <c r="R12" s="3229" t="s">
        <v>2900</v>
      </c>
      <c r="S12" s="3229" t="s">
        <v>2901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2903</v>
      </c>
      <c r="K14" s="3230" t="s">
        <v>215</v>
      </c>
      <c r="L14" s="3229" t="s">
        <v>216</v>
      </c>
      <c r="M14" s="3229" t="s">
        <v>217</v>
      </c>
      <c r="N14" s="3229" t="s">
        <v>218</v>
      </c>
      <c r="O14" s="3229" t="s">
        <v>240</v>
      </c>
      <c r="P14" s="3229" t="s">
        <v>213</v>
      </c>
      <c r="Q14" s="3229" t="s">
        <v>2904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2905</v>
      </c>
      <c r="P15" s="3229" t="s">
        <v>2906</v>
      </c>
      <c r="Q15" s="3229" t="s">
        <v>242</v>
      </c>
      <c r="R15" s="3229" t="s">
        <v>2907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2908</v>
      </c>
      <c r="P16" s="3229" t="s">
        <v>227</v>
      </c>
      <c r="Q16" s="3229" t="s">
        <v>250</v>
      </c>
      <c r="R16" s="3229" t="s">
        <v>207</v>
      </c>
      <c r="S16" s="3229" t="s">
        <v>2909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2910</v>
      </c>
      <c r="P17" s="3229" t="s">
        <v>2911</v>
      </c>
      <c r="Q17" s="3229" t="s">
        <v>256</v>
      </c>
      <c r="R17" s="3229" t="s">
        <v>2912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2913</v>
      </c>
      <c r="P18" s="3229" t="s">
        <v>241</v>
      </c>
      <c r="Q18" s="3229" t="s">
        <v>2914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2915</v>
      </c>
      <c r="P19" s="3229" t="s">
        <v>249</v>
      </c>
      <c r="Q19" s="3229" t="s">
        <v>2916</v>
      </c>
      <c r="R19" s="3229" t="s">
        <v>265</v>
      </c>
      <c r="S19" s="3229" t="s">
        <v>2917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2918</v>
      </c>
      <c r="P20" s="3229" t="s">
        <v>2919</v>
      </c>
      <c r="Q20" s="3229" t="s">
        <v>290</v>
      </c>
      <c r="R20" s="3229" t="s">
        <v>2920</v>
      </c>
      <c r="S20" s="3229" t="s">
        <v>277</v>
      </c>
    </row>
    <row r="21" spans="1:19" ht="14.25" customHeight="1" thickBot="1">
      <c r="A21" s="3229" t="s">
        <v>184</v>
      </c>
      <c r="B21" s="3230" t="s">
        <v>208</v>
      </c>
      <c r="C21" s="3229">
        <v>32370</v>
      </c>
      <c r="D21" s="3229">
        <v>26730</v>
      </c>
      <c r="E21" s="3229">
        <v>26640</v>
      </c>
      <c r="F21" s="3229"/>
      <c r="G21" s="3229">
        <v>19440</v>
      </c>
      <c r="J21" s="3236" t="s">
        <v>2921</v>
      </c>
      <c r="K21" s="3230" t="s">
        <v>267</v>
      </c>
      <c r="L21" s="3229" t="s">
        <v>268</v>
      </c>
      <c r="M21" s="3229" t="s">
        <v>269</v>
      </c>
      <c r="N21" s="3229" t="s">
        <v>270</v>
      </c>
      <c r="O21" s="3229" t="s">
        <v>264</v>
      </c>
      <c r="P21" s="3229" t="s">
        <v>283</v>
      </c>
      <c r="Q21" s="3229" t="s">
        <v>293</v>
      </c>
      <c r="R21" s="3229" t="s">
        <v>2922</v>
      </c>
      <c r="S21" s="3236" t="s">
        <v>2923</v>
      </c>
    </row>
    <row r="22" spans="1:19" ht="14.25" customHeight="1">
      <c r="A22" s="3229" t="s">
        <v>184</v>
      </c>
      <c r="B22" s="3230" t="s">
        <v>2903</v>
      </c>
      <c r="C22" s="3229">
        <v>29830</v>
      </c>
      <c r="D22" s="3229">
        <v>27600</v>
      </c>
      <c r="E22" s="3229">
        <v>28150</v>
      </c>
      <c r="F22" s="3229"/>
      <c r="G22" s="3229">
        <v>20080</v>
      </c>
      <c r="K22" s="3230" t="s">
        <v>2924</v>
      </c>
      <c r="L22" s="3229" t="s">
        <v>272</v>
      </c>
      <c r="M22" s="3229" t="s">
        <v>273</v>
      </c>
      <c r="N22" s="3229" t="s">
        <v>274</v>
      </c>
      <c r="O22" s="3229" t="s">
        <v>2925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2926</v>
      </c>
      <c r="L23" s="3229" t="s">
        <v>278</v>
      </c>
      <c r="M23" s="3229" t="s">
        <v>279</v>
      </c>
      <c r="N23" s="3229" t="s">
        <v>2927</v>
      </c>
      <c r="O23" s="3229" t="s">
        <v>2928</v>
      </c>
      <c r="P23" s="3229" t="s">
        <v>289</v>
      </c>
      <c r="Q23" s="3229" t="s">
        <v>298</v>
      </c>
      <c r="R23" s="3229" t="s">
        <v>2929</v>
      </c>
    </row>
    <row r="24" spans="1:19" ht="14.25" customHeight="1">
      <c r="A24" s="3229" t="s">
        <v>184</v>
      </c>
      <c r="B24" s="3230" t="s">
        <v>230</v>
      </c>
      <c r="C24" s="3229">
        <v>27930</v>
      </c>
      <c r="D24" s="3229">
        <v>32260</v>
      </c>
      <c r="E24" s="3229">
        <v>32120</v>
      </c>
      <c r="F24" s="3229"/>
      <c r="G24" s="3229">
        <v>23470</v>
      </c>
      <c r="K24" s="3230" t="s">
        <v>2930</v>
      </c>
      <c r="L24" s="3229" t="s">
        <v>281</v>
      </c>
      <c r="M24" s="3229" t="s">
        <v>282</v>
      </c>
      <c r="N24" s="3229" t="s">
        <v>2931</v>
      </c>
      <c r="O24" s="3229" t="s">
        <v>285</v>
      </c>
      <c r="P24" s="3229" t="s">
        <v>2932</v>
      </c>
      <c r="Q24" s="3238" t="s">
        <v>2933</v>
      </c>
      <c r="R24" s="3229" t="s">
        <v>2934</v>
      </c>
    </row>
    <row r="25" spans="1:19" ht="14.25" customHeight="1">
      <c r="A25" s="3229" t="s">
        <v>184</v>
      </c>
      <c r="B25" s="3230" t="s">
        <v>235</v>
      </c>
      <c r="C25" s="3229">
        <v>32230</v>
      </c>
      <c r="D25" s="3229">
        <v>29640</v>
      </c>
      <c r="E25" s="3229">
        <v>29510</v>
      </c>
      <c r="F25" s="3229"/>
      <c r="G25" s="3229">
        <v>21560</v>
      </c>
      <c r="K25" s="3230" t="s">
        <v>2935</v>
      </c>
      <c r="L25" s="3229" t="s">
        <v>2936</v>
      </c>
      <c r="M25" s="3229" t="s">
        <v>284</v>
      </c>
      <c r="N25" s="3229" t="s">
        <v>292</v>
      </c>
      <c r="O25" s="3229" t="s">
        <v>288</v>
      </c>
      <c r="P25" s="3229" t="s">
        <v>275</v>
      </c>
      <c r="Q25" s="3238" t="s">
        <v>271</v>
      </c>
      <c r="R25" s="3229" t="s">
        <v>2937</v>
      </c>
    </row>
    <row r="26" spans="1:19" ht="14.25" customHeight="1" thickBot="1">
      <c r="A26" s="3229" t="s">
        <v>184</v>
      </c>
      <c r="B26" s="3230" t="s">
        <v>244</v>
      </c>
      <c r="C26" s="3229">
        <v>31690</v>
      </c>
      <c r="D26" s="3229">
        <v>27650</v>
      </c>
      <c r="E26" s="3229">
        <v>28200</v>
      </c>
      <c r="F26" s="3229"/>
      <c r="G26" s="3229">
        <v>20110</v>
      </c>
      <c r="K26" s="3235" t="s">
        <v>2938</v>
      </c>
      <c r="L26" s="3229" t="s">
        <v>2939</v>
      </c>
      <c r="M26" s="3229" t="s">
        <v>287</v>
      </c>
      <c r="N26" s="3229" t="s">
        <v>294</v>
      </c>
      <c r="O26" s="3229" t="s">
        <v>2940</v>
      </c>
      <c r="P26" s="3229" t="s">
        <v>2941</v>
      </c>
      <c r="Q26" s="3238" t="s">
        <v>276</v>
      </c>
      <c r="R26" s="3229" t="s">
        <v>2942</v>
      </c>
    </row>
    <row r="27" spans="1:19" ht="14.25" customHeight="1">
      <c r="A27" s="3229" t="s">
        <v>184</v>
      </c>
      <c r="B27" s="3230" t="s">
        <v>251</v>
      </c>
      <c r="C27" s="3229">
        <v>29610</v>
      </c>
      <c r="D27" s="3229">
        <v>27770</v>
      </c>
      <c r="E27" s="3229">
        <v>28300</v>
      </c>
      <c r="F27" s="3229"/>
      <c r="G27" s="3229">
        <v>20210</v>
      </c>
      <c r="L27" s="3229" t="s">
        <v>2943</v>
      </c>
      <c r="M27" s="3229" t="s">
        <v>291</v>
      </c>
      <c r="N27" s="3229" t="s">
        <v>297</v>
      </c>
      <c r="O27" s="3229" t="s">
        <v>2944</v>
      </c>
      <c r="P27" s="3229" t="s">
        <v>2945</v>
      </c>
      <c r="Q27" s="3229" t="s">
        <v>2946</v>
      </c>
      <c r="R27" s="3229" t="s">
        <v>2947</v>
      </c>
    </row>
    <row r="28" spans="1:19" ht="14.25" customHeight="1">
      <c r="A28" s="3229" t="s">
        <v>184</v>
      </c>
      <c r="B28" s="3230" t="s">
        <v>259</v>
      </c>
      <c r="C28" s="3229"/>
      <c r="D28" s="3229">
        <v>31520</v>
      </c>
      <c r="E28" s="3229">
        <v>31410</v>
      </c>
      <c r="F28" s="3229"/>
      <c r="G28" s="3229">
        <v>22940</v>
      </c>
      <c r="L28" s="3229" t="s">
        <v>2948</v>
      </c>
      <c r="M28" s="3229" t="s">
        <v>2949</v>
      </c>
      <c r="N28" s="3229" t="s">
        <v>2950</v>
      </c>
      <c r="O28" s="3229" t="s">
        <v>2951</v>
      </c>
      <c r="P28" s="3229" t="s">
        <v>2952</v>
      </c>
      <c r="Q28" s="3229" t="s">
        <v>2953</v>
      </c>
      <c r="R28" s="3229" t="s">
        <v>2954</v>
      </c>
    </row>
    <row r="29" spans="1:19" ht="14.25" customHeight="1" thickBot="1">
      <c r="A29" s="3237" t="s">
        <v>184</v>
      </c>
      <c r="B29" s="3239" t="s">
        <v>2921</v>
      </c>
      <c r="C29" s="3240"/>
      <c r="D29" s="3240">
        <v>29460</v>
      </c>
      <c r="E29" s="3240">
        <v>28640</v>
      </c>
      <c r="F29" s="3240"/>
      <c r="G29" s="3240">
        <v>21430</v>
      </c>
      <c r="L29" s="3229" t="s">
        <v>2955</v>
      </c>
      <c r="M29" s="3229" t="s">
        <v>2956</v>
      </c>
      <c r="N29" s="3229" t="s">
        <v>2957</v>
      </c>
      <c r="O29" s="3229" t="s">
        <v>2958</v>
      </c>
      <c r="P29" s="3229" t="s">
        <v>2959</v>
      </c>
      <c r="Q29" s="3229" t="s">
        <v>2960</v>
      </c>
      <c r="R29" s="3229" t="s">
        <v>280</v>
      </c>
    </row>
    <row r="30" spans="1:19" ht="14.25" customHeight="1">
      <c r="A30" s="3234" t="s">
        <v>296</v>
      </c>
      <c r="B30" s="3225" t="s">
        <v>2854</v>
      </c>
      <c r="C30" s="3225">
        <v>26890</v>
      </c>
      <c r="D30" s="3225">
        <v>26770</v>
      </c>
      <c r="E30" s="3225">
        <v>25700</v>
      </c>
      <c r="F30" s="3225">
        <v>8180</v>
      </c>
      <c r="G30" s="3241">
        <v>18740</v>
      </c>
      <c r="L30" s="3229" t="s">
        <v>2961</v>
      </c>
      <c r="M30" s="3229" t="s">
        <v>2962</v>
      </c>
      <c r="N30" s="3229" t="s">
        <v>2963</v>
      </c>
      <c r="O30" s="3229" t="s">
        <v>2964</v>
      </c>
      <c r="P30" s="3229" t="s">
        <v>2965</v>
      </c>
      <c r="Q30" s="3229" t="s">
        <v>2966</v>
      </c>
      <c r="R30" s="3229" t="s">
        <v>2967</v>
      </c>
    </row>
    <row r="31" spans="1:19" ht="14.25" customHeight="1">
      <c r="A31" s="3229" t="s">
        <v>296</v>
      </c>
      <c r="B31" s="3230" t="s">
        <v>129</v>
      </c>
      <c r="C31" s="3229">
        <v>24550</v>
      </c>
      <c r="D31" s="3229">
        <v>23990</v>
      </c>
      <c r="E31" s="3229">
        <v>22930</v>
      </c>
      <c r="F31" s="3229">
        <v>7470</v>
      </c>
      <c r="G31" s="3242">
        <v>16790</v>
      </c>
      <c r="L31" s="3229" t="s">
        <v>2968</v>
      </c>
      <c r="M31" s="3229" t="s">
        <v>2969</v>
      </c>
      <c r="N31" s="3229" t="s">
        <v>2970</v>
      </c>
      <c r="O31" s="3229" t="s">
        <v>2971</v>
      </c>
      <c r="P31" s="3229" t="s">
        <v>2972</v>
      </c>
      <c r="Q31" s="3229" t="s">
        <v>2973</v>
      </c>
      <c r="R31" s="3229" t="s">
        <v>2974</v>
      </c>
    </row>
    <row r="32" spans="1:19" ht="14.25" customHeight="1" thickBot="1">
      <c r="A32" s="3229" t="s">
        <v>296</v>
      </c>
      <c r="B32" s="3230" t="s">
        <v>138</v>
      </c>
      <c r="C32" s="3229">
        <v>27210</v>
      </c>
      <c r="D32" s="3229">
        <v>23240</v>
      </c>
      <c r="E32" s="3229">
        <v>23260</v>
      </c>
      <c r="F32" s="3229">
        <v>7130</v>
      </c>
      <c r="G32" s="3242">
        <v>16270</v>
      </c>
      <c r="L32" s="3229" t="s">
        <v>2975</v>
      </c>
      <c r="M32" s="3229" t="s">
        <v>2976</v>
      </c>
      <c r="N32" s="3229" t="s">
        <v>300</v>
      </c>
      <c r="O32" s="3229" t="s">
        <v>2977</v>
      </c>
      <c r="P32" s="3229" t="s">
        <v>299</v>
      </c>
      <c r="Q32" s="3229" t="s">
        <v>2978</v>
      </c>
      <c r="R32" s="3236" t="s">
        <v>2979</v>
      </c>
    </row>
    <row r="33" spans="1:17" ht="14.25" customHeight="1" thickBot="1">
      <c r="A33" s="3229" t="s">
        <v>296</v>
      </c>
      <c r="B33" s="3230" t="s">
        <v>147</v>
      </c>
      <c r="C33" s="3229">
        <v>27300</v>
      </c>
      <c r="D33" s="3229">
        <v>22980</v>
      </c>
      <c r="E33" s="3229">
        <v>24260</v>
      </c>
      <c r="F33" s="3229">
        <v>5860</v>
      </c>
      <c r="G33" s="3242">
        <v>16090</v>
      </c>
      <c r="L33" s="3236" t="s">
        <v>2980</v>
      </c>
      <c r="M33" s="3229" t="s">
        <v>2981</v>
      </c>
      <c r="N33" s="3229" t="s">
        <v>301</v>
      </c>
      <c r="O33" s="3229" t="s">
        <v>2982</v>
      </c>
      <c r="P33" s="3229" t="s">
        <v>2983</v>
      </c>
      <c r="Q33" s="3229" t="s">
        <v>2984</v>
      </c>
    </row>
    <row r="34" spans="1:17" ht="14.25" customHeight="1">
      <c r="A34" s="3229" t="s">
        <v>296</v>
      </c>
      <c r="B34" s="3230" t="s">
        <v>156</v>
      </c>
      <c r="C34" s="3229">
        <v>23090</v>
      </c>
      <c r="D34" s="3229">
        <v>23390</v>
      </c>
      <c r="E34" s="3229">
        <v>23510</v>
      </c>
      <c r="F34" s="3229">
        <v>6700</v>
      </c>
      <c r="G34" s="3242">
        <v>16370</v>
      </c>
      <c r="M34" s="3229" t="s">
        <v>2985</v>
      </c>
      <c r="N34" s="3229" t="s">
        <v>302</v>
      </c>
      <c r="O34" s="3229" t="s">
        <v>2986</v>
      </c>
      <c r="P34" s="3229" t="s">
        <v>2987</v>
      </c>
      <c r="Q34" s="3229" t="s">
        <v>2988</v>
      </c>
    </row>
    <row r="35" spans="1:17" ht="14.25" customHeight="1">
      <c r="A35" s="3229" t="s">
        <v>296</v>
      </c>
      <c r="B35" s="3230" t="s">
        <v>163</v>
      </c>
      <c r="C35" s="3229">
        <v>27270</v>
      </c>
      <c r="D35" s="3229">
        <v>24270</v>
      </c>
      <c r="E35" s="3229">
        <v>24950</v>
      </c>
      <c r="F35" s="3229">
        <v>6600</v>
      </c>
      <c r="G35" s="3242">
        <v>16990</v>
      </c>
      <c r="M35" s="3229" t="s">
        <v>2989</v>
      </c>
      <c r="N35" s="3229" t="s">
        <v>2990</v>
      </c>
      <c r="O35" s="3229" t="s">
        <v>2991</v>
      </c>
      <c r="P35" s="3229" t="s">
        <v>2992</v>
      </c>
      <c r="Q35" s="3229" t="s">
        <v>2993</v>
      </c>
    </row>
    <row r="36" spans="1:17" ht="14.25" customHeight="1">
      <c r="A36" s="3229" t="s">
        <v>296</v>
      </c>
      <c r="B36" s="3230" t="s">
        <v>169</v>
      </c>
      <c r="C36" s="3229">
        <v>23490</v>
      </c>
      <c r="D36" s="3229">
        <v>23020</v>
      </c>
      <c r="E36" s="3229">
        <v>25230</v>
      </c>
      <c r="F36" s="3229">
        <v>6780</v>
      </c>
      <c r="G36" s="3242">
        <v>16120</v>
      </c>
      <c r="M36" s="3229" t="s">
        <v>2994</v>
      </c>
      <c r="N36" s="3229" t="s">
        <v>2995</v>
      </c>
      <c r="O36" s="3229" t="s">
        <v>2996</v>
      </c>
      <c r="P36" s="3229" t="s">
        <v>2997</v>
      </c>
      <c r="Q36" s="3229" t="s">
        <v>2998</v>
      </c>
    </row>
    <row r="37" spans="1:17" ht="14.25" customHeight="1">
      <c r="A37" s="3229" t="s">
        <v>296</v>
      </c>
      <c r="B37" s="3230" t="s">
        <v>176</v>
      </c>
      <c r="C37" s="3229">
        <v>24380</v>
      </c>
      <c r="D37" s="3229">
        <v>22240</v>
      </c>
      <c r="E37" s="3229">
        <v>25980</v>
      </c>
      <c r="F37" s="3229">
        <v>8160</v>
      </c>
      <c r="G37" s="3242">
        <v>15570</v>
      </c>
      <c r="M37" s="3229" t="s">
        <v>2999</v>
      </c>
      <c r="N37" s="3229" t="s">
        <v>3000</v>
      </c>
      <c r="O37" s="3229" t="s">
        <v>3001</v>
      </c>
      <c r="P37" s="3229" t="s">
        <v>3002</v>
      </c>
      <c r="Q37" s="3229" t="s">
        <v>3003</v>
      </c>
    </row>
    <row r="38" spans="1:17" ht="14.25" customHeight="1">
      <c r="A38" s="3229" t="s">
        <v>296</v>
      </c>
      <c r="B38" s="3230" t="s">
        <v>186</v>
      </c>
      <c r="C38" s="3229">
        <v>23120</v>
      </c>
      <c r="D38" s="3229">
        <v>24630</v>
      </c>
      <c r="E38" s="3229">
        <v>25030</v>
      </c>
      <c r="F38" s="3229">
        <v>7710</v>
      </c>
      <c r="G38" s="3242">
        <v>17240</v>
      </c>
      <c r="M38" s="3229" t="s">
        <v>3004</v>
      </c>
      <c r="N38" s="3229" t="s">
        <v>3005</v>
      </c>
      <c r="O38" s="3229" t="s">
        <v>3006</v>
      </c>
      <c r="P38" s="3229" t="s">
        <v>3007</v>
      </c>
      <c r="Q38" s="3229" t="s">
        <v>3008</v>
      </c>
    </row>
    <row r="39" spans="1:17" ht="14.25" customHeight="1">
      <c r="A39" s="3229" t="s">
        <v>296</v>
      </c>
      <c r="B39" s="3230" t="s">
        <v>195</v>
      </c>
      <c r="C39" s="3229">
        <v>22330</v>
      </c>
      <c r="D39" s="3229">
        <v>21140</v>
      </c>
      <c r="E39" s="3229">
        <v>23970</v>
      </c>
      <c r="F39" s="3229">
        <v>7940</v>
      </c>
      <c r="G39" s="3242">
        <v>14790</v>
      </c>
      <c r="M39" s="3229" t="s">
        <v>3009</v>
      </c>
      <c r="N39" s="3229" t="s">
        <v>3010</v>
      </c>
      <c r="O39" s="3229" t="s">
        <v>3011</v>
      </c>
      <c r="P39" s="3229" t="s">
        <v>3012</v>
      </c>
      <c r="Q39" s="3229" t="s">
        <v>3013</v>
      </c>
    </row>
    <row r="40" spans="1:17" ht="14.25" customHeight="1">
      <c r="A40" s="3229" t="s">
        <v>296</v>
      </c>
      <c r="B40" s="3230" t="s">
        <v>202</v>
      </c>
      <c r="C40" s="3229">
        <v>24740</v>
      </c>
      <c r="D40" s="3229">
        <v>24690</v>
      </c>
      <c r="E40" s="3229">
        <v>22610</v>
      </c>
      <c r="F40" s="3229"/>
      <c r="G40" s="3242">
        <v>17280</v>
      </c>
      <c r="M40" s="3229" t="s">
        <v>3014</v>
      </c>
      <c r="N40" s="3229" t="s">
        <v>3015</v>
      </c>
      <c r="O40" s="3229" t="s">
        <v>3016</v>
      </c>
      <c r="P40" s="3229" t="s">
        <v>3017</v>
      </c>
      <c r="Q40" s="3229" t="s">
        <v>3018</v>
      </c>
    </row>
    <row r="41" spans="1:17" ht="14.25" customHeight="1" thickBot="1">
      <c r="A41" s="3229" t="s">
        <v>296</v>
      </c>
      <c r="B41" s="3230" t="s">
        <v>209</v>
      </c>
      <c r="C41" s="3229">
        <v>21220</v>
      </c>
      <c r="D41" s="3229">
        <v>21120</v>
      </c>
      <c r="E41" s="3229">
        <v>22590</v>
      </c>
      <c r="F41" s="3229"/>
      <c r="G41" s="3242">
        <v>14780</v>
      </c>
      <c r="M41" s="3236" t="s">
        <v>3019</v>
      </c>
      <c r="N41" s="3229" t="s">
        <v>3020</v>
      </c>
      <c r="O41" s="3229" t="s">
        <v>3021</v>
      </c>
      <c r="P41" s="3229" t="s">
        <v>3022</v>
      </c>
      <c r="Q41" s="3229" t="s">
        <v>3023</v>
      </c>
    </row>
    <row r="42" spans="1:17" ht="14.25" customHeight="1">
      <c r="A42" s="3229" t="s">
        <v>296</v>
      </c>
      <c r="B42" s="3230" t="s">
        <v>215</v>
      </c>
      <c r="C42" s="3229">
        <v>24800</v>
      </c>
      <c r="D42" s="3229">
        <v>22280</v>
      </c>
      <c r="E42" s="3229">
        <v>24350</v>
      </c>
      <c r="F42" s="3229"/>
      <c r="G42" s="3242">
        <v>15590</v>
      </c>
      <c r="N42" s="3229" t="s">
        <v>3024</v>
      </c>
      <c r="O42" s="3229" t="s">
        <v>3025</v>
      </c>
      <c r="P42" s="3229" t="s">
        <v>3026</v>
      </c>
      <c r="Q42" s="3229" t="s">
        <v>3027</v>
      </c>
    </row>
    <row r="43" spans="1:17" ht="14.25" customHeight="1">
      <c r="A43" s="3229" t="s">
        <v>3028</v>
      </c>
      <c r="B43" s="3230" t="s">
        <v>223</v>
      </c>
      <c r="C43" s="3229">
        <v>21210</v>
      </c>
      <c r="D43" s="3229">
        <v>21160</v>
      </c>
      <c r="E43" s="3229">
        <v>22650</v>
      </c>
      <c r="F43" s="3229"/>
      <c r="G43" s="3242">
        <v>14800</v>
      </c>
      <c r="N43" s="3229" t="s">
        <v>3029</v>
      </c>
      <c r="O43" s="3229" t="s">
        <v>3030</v>
      </c>
      <c r="P43" s="3229" t="s">
        <v>3031</v>
      </c>
      <c r="Q43" s="3229" t="s">
        <v>3032</v>
      </c>
    </row>
    <row r="44" spans="1:17" ht="14.25" customHeight="1" thickBot="1">
      <c r="A44" s="3229" t="s">
        <v>296</v>
      </c>
      <c r="B44" s="3230" t="s">
        <v>231</v>
      </c>
      <c r="C44" s="3229">
        <v>22370</v>
      </c>
      <c r="D44" s="3229">
        <v>23140</v>
      </c>
      <c r="E44" s="3229">
        <v>25090</v>
      </c>
      <c r="F44" s="3229"/>
      <c r="G44" s="3242">
        <v>16190</v>
      </c>
      <c r="N44" s="3229" t="s">
        <v>3033</v>
      </c>
      <c r="O44" s="3229" t="s">
        <v>3034</v>
      </c>
      <c r="P44" s="3236" t="s">
        <v>3035</v>
      </c>
      <c r="Q44" s="3229" t="s">
        <v>3036</v>
      </c>
    </row>
    <row r="45" spans="1:17" ht="14.25" customHeight="1" thickBot="1">
      <c r="A45" s="3229" t="s">
        <v>296</v>
      </c>
      <c r="B45" s="3230" t="s">
        <v>236</v>
      </c>
      <c r="C45" s="3229">
        <v>21240</v>
      </c>
      <c r="D45" s="3229">
        <v>27050</v>
      </c>
      <c r="E45" s="3229">
        <v>28000</v>
      </c>
      <c r="F45" s="3229"/>
      <c r="G45" s="3242">
        <v>18940</v>
      </c>
      <c r="N45" s="3229" t="s">
        <v>3037</v>
      </c>
      <c r="O45" s="3236" t="s">
        <v>3038</v>
      </c>
      <c r="Q45" s="3229" t="s">
        <v>3039</v>
      </c>
    </row>
    <row r="46" spans="1:17" ht="14.25" customHeight="1">
      <c r="A46" s="3229" t="s">
        <v>296</v>
      </c>
      <c r="B46" s="3230" t="s">
        <v>245</v>
      </c>
      <c r="C46" s="3229">
        <v>23240</v>
      </c>
      <c r="D46" s="3229">
        <v>23000</v>
      </c>
      <c r="E46" s="3229">
        <v>24980</v>
      </c>
      <c r="F46" s="3229"/>
      <c r="G46" s="3242">
        <v>16100</v>
      </c>
      <c r="N46" s="3229" t="s">
        <v>3040</v>
      </c>
      <c r="Q46" s="3229" t="s">
        <v>3041</v>
      </c>
    </row>
    <row r="47" spans="1:17" ht="14.25" customHeight="1">
      <c r="A47" s="3229" t="s">
        <v>296</v>
      </c>
      <c r="B47" s="3230" t="s">
        <v>252</v>
      </c>
      <c r="C47" s="3229">
        <v>27150</v>
      </c>
      <c r="D47" s="3229">
        <v>23310</v>
      </c>
      <c r="E47" s="3229">
        <v>25150</v>
      </c>
      <c r="F47" s="3229"/>
      <c r="G47" s="3242">
        <v>16310</v>
      </c>
      <c r="N47" s="3229" t="s">
        <v>3042</v>
      </c>
      <c r="Q47" s="3229" t="s">
        <v>3043</v>
      </c>
    </row>
    <row r="48" spans="1:17" ht="14.25" customHeight="1">
      <c r="A48" s="3229" t="s">
        <v>296</v>
      </c>
      <c r="B48" s="3230" t="s">
        <v>260</v>
      </c>
      <c r="C48" s="3229">
        <v>23100</v>
      </c>
      <c r="D48" s="3229">
        <v>21110</v>
      </c>
      <c r="E48" s="3229">
        <v>23080</v>
      </c>
      <c r="F48" s="3229"/>
      <c r="G48" s="3242">
        <v>14780</v>
      </c>
      <c r="N48" s="3229" t="s">
        <v>3044</v>
      </c>
      <c r="Q48" s="3229" t="s">
        <v>3045</v>
      </c>
    </row>
    <row r="49" spans="1:17" ht="14.25" customHeight="1">
      <c r="A49" s="3229" t="s">
        <v>296</v>
      </c>
      <c r="B49" s="3230" t="s">
        <v>267</v>
      </c>
      <c r="C49" s="3229">
        <v>23400</v>
      </c>
      <c r="D49" s="3229">
        <v>22920</v>
      </c>
      <c r="E49" s="3229">
        <v>24900</v>
      </c>
      <c r="F49" s="3229"/>
      <c r="G49" s="3242">
        <v>16040</v>
      </c>
      <c r="N49" s="3229" t="s">
        <v>3046</v>
      </c>
      <c r="Q49" s="3229" t="s">
        <v>3047</v>
      </c>
    </row>
    <row r="50" spans="1:17" ht="14.25" customHeight="1">
      <c r="A50" s="3229" t="s">
        <v>296</v>
      </c>
      <c r="B50" s="3230" t="s">
        <v>2924</v>
      </c>
      <c r="C50" s="3229">
        <v>21200</v>
      </c>
      <c r="D50" s="3229">
        <v>26540</v>
      </c>
      <c r="E50" s="3229">
        <v>23200</v>
      </c>
      <c r="F50" s="3229"/>
      <c r="G50" s="3242">
        <v>18580</v>
      </c>
      <c r="N50" s="3229" t="s">
        <v>3048</v>
      </c>
      <c r="Q50" s="3230" t="s">
        <v>3049</v>
      </c>
    </row>
    <row r="51" spans="1:17" ht="14.25" customHeight="1" thickBot="1">
      <c r="A51" s="3229" t="s">
        <v>296</v>
      </c>
      <c r="B51" s="3230" t="s">
        <v>2926</v>
      </c>
      <c r="C51" s="3229">
        <v>23000</v>
      </c>
      <c r="D51" s="3229">
        <v>23460</v>
      </c>
      <c r="E51" s="3229">
        <v>25290</v>
      </c>
      <c r="F51" s="3229"/>
      <c r="G51" s="3242">
        <v>16420</v>
      </c>
      <c r="N51" s="3229" t="s">
        <v>3050</v>
      </c>
      <c r="Q51" s="3236" t="s">
        <v>3051</v>
      </c>
    </row>
    <row r="52" spans="1:17" ht="14.25" customHeight="1">
      <c r="A52" s="3229" t="s">
        <v>296</v>
      </c>
      <c r="B52" s="3230" t="s">
        <v>2930</v>
      </c>
      <c r="C52" s="3229">
        <v>26660</v>
      </c>
      <c r="D52" s="3229">
        <v>22350</v>
      </c>
      <c r="E52" s="3229">
        <v>22920</v>
      </c>
      <c r="F52" s="3229"/>
      <c r="G52" s="3242">
        <v>15640</v>
      </c>
      <c r="N52" s="3229" t="s">
        <v>3052</v>
      </c>
    </row>
    <row r="53" spans="1:17" ht="14.25" customHeight="1">
      <c r="A53" s="3229" t="s">
        <v>296</v>
      </c>
      <c r="B53" s="3230" t="s">
        <v>2935</v>
      </c>
      <c r="C53" s="3229">
        <v>23580</v>
      </c>
      <c r="D53" s="3229"/>
      <c r="E53" s="3229">
        <v>24280</v>
      </c>
      <c r="F53" s="3229"/>
      <c r="G53" s="3242"/>
      <c r="N53" s="3229" t="s">
        <v>3053</v>
      </c>
    </row>
    <row r="54" spans="1:17" ht="14.25" customHeight="1" thickBot="1">
      <c r="A54" s="3243" t="s">
        <v>296</v>
      </c>
      <c r="B54" s="3235" t="s">
        <v>2938</v>
      </c>
      <c r="C54" s="3236">
        <v>22460</v>
      </c>
      <c r="D54" s="3236"/>
      <c r="E54" s="3236"/>
      <c r="F54" s="3236"/>
      <c r="G54" s="3244"/>
      <c r="N54" s="3229" t="s">
        <v>3054</v>
      </c>
    </row>
    <row r="55" spans="1:17" ht="14.25" customHeight="1">
      <c r="A55" s="3234" t="s">
        <v>110</v>
      </c>
      <c r="B55" s="3225" t="s">
        <v>3055</v>
      </c>
      <c r="C55" s="3229">
        <v>21970</v>
      </c>
      <c r="D55" s="3229">
        <v>20370</v>
      </c>
      <c r="E55" s="3229">
        <v>20180</v>
      </c>
      <c r="F55" s="3229">
        <v>5730</v>
      </c>
      <c r="G55" s="3229">
        <v>13820</v>
      </c>
      <c r="N55" s="3229" t="s">
        <v>3056</v>
      </c>
    </row>
    <row r="56" spans="1:17" ht="14.25" customHeight="1">
      <c r="A56" s="3229" t="s">
        <v>110</v>
      </c>
      <c r="B56" s="3229" t="s">
        <v>130</v>
      </c>
      <c r="C56" s="3229">
        <v>20470</v>
      </c>
      <c r="D56" s="3229">
        <v>20700</v>
      </c>
      <c r="E56" s="3229">
        <v>20380</v>
      </c>
      <c r="F56" s="3229">
        <v>4760</v>
      </c>
      <c r="G56" s="3229">
        <v>14050</v>
      </c>
      <c r="N56" s="3229" t="s">
        <v>3057</v>
      </c>
    </row>
    <row r="57" spans="1:17" ht="14.25" customHeight="1">
      <c r="A57" s="3229" t="s">
        <v>110</v>
      </c>
      <c r="B57" s="3229" t="s">
        <v>139</v>
      </c>
      <c r="C57" s="3229">
        <v>20790</v>
      </c>
      <c r="D57" s="3229">
        <v>21370</v>
      </c>
      <c r="E57" s="3229">
        <v>20890</v>
      </c>
      <c r="F57" s="3229">
        <v>4910</v>
      </c>
      <c r="G57" s="3229">
        <v>14510</v>
      </c>
      <c r="N57" s="3229" t="s">
        <v>3058</v>
      </c>
    </row>
    <row r="58" spans="1:17" ht="14.25" customHeight="1">
      <c r="A58" s="3229" t="s">
        <v>110</v>
      </c>
      <c r="B58" s="3229" t="s">
        <v>148</v>
      </c>
      <c r="C58" s="3229">
        <v>21460</v>
      </c>
      <c r="D58" s="3229">
        <v>20920</v>
      </c>
      <c r="E58" s="3229">
        <v>23410</v>
      </c>
      <c r="F58" s="3229">
        <v>5100</v>
      </c>
      <c r="G58" s="3229">
        <v>14200</v>
      </c>
      <c r="N58" s="3229" t="s">
        <v>3059</v>
      </c>
    </row>
    <row r="59" spans="1:17" ht="14.25" customHeight="1">
      <c r="A59" s="3229" t="s">
        <v>110</v>
      </c>
      <c r="B59" s="3229" t="s">
        <v>157</v>
      </c>
      <c r="C59" s="3229">
        <v>21000</v>
      </c>
      <c r="D59" s="3229">
        <v>21550</v>
      </c>
      <c r="E59" s="3229">
        <v>21150</v>
      </c>
      <c r="F59" s="3229">
        <v>5250</v>
      </c>
      <c r="G59" s="3229">
        <v>14630</v>
      </c>
      <c r="N59" s="3229" t="s">
        <v>3060</v>
      </c>
    </row>
    <row r="60" spans="1:17" ht="14.25" customHeight="1">
      <c r="A60" s="3229" t="s">
        <v>110</v>
      </c>
      <c r="B60" s="3229" t="s">
        <v>164</v>
      </c>
      <c r="C60" s="3229">
        <v>21640</v>
      </c>
      <c r="D60" s="3229">
        <v>21260</v>
      </c>
      <c r="E60" s="3229">
        <v>24040</v>
      </c>
      <c r="F60" s="3229">
        <v>4470</v>
      </c>
      <c r="G60" s="3229">
        <v>14430</v>
      </c>
      <c r="N60" s="3229" t="s">
        <v>3061</v>
      </c>
    </row>
    <row r="61" spans="1:17" ht="14.25" customHeight="1">
      <c r="A61" s="3229" t="s">
        <v>110</v>
      </c>
      <c r="B61" s="3229" t="s">
        <v>170</v>
      </c>
      <c r="C61" s="3229">
        <v>21330</v>
      </c>
      <c r="D61" s="3229">
        <v>18640</v>
      </c>
      <c r="E61" s="3229">
        <v>21190</v>
      </c>
      <c r="F61" s="3229">
        <v>4180</v>
      </c>
      <c r="G61" s="3229">
        <v>12650</v>
      </c>
      <c r="N61" s="3229" t="s">
        <v>3062</v>
      </c>
    </row>
    <row r="62" spans="1:17" ht="14.25" customHeight="1">
      <c r="A62" s="3229" t="s">
        <v>110</v>
      </c>
      <c r="B62" s="3229" t="s">
        <v>177</v>
      </c>
      <c r="C62" s="3229">
        <v>18710</v>
      </c>
      <c r="D62" s="3229">
        <v>19400</v>
      </c>
      <c r="E62" s="3229">
        <v>23750</v>
      </c>
      <c r="F62" s="3229">
        <v>4860</v>
      </c>
      <c r="G62" s="3229">
        <v>13170</v>
      </c>
      <c r="N62" s="3229" t="s">
        <v>3063</v>
      </c>
    </row>
    <row r="63" spans="1:17" ht="14.25" customHeight="1">
      <c r="A63" s="3229" t="s">
        <v>110</v>
      </c>
      <c r="B63" s="3229" t="s">
        <v>187</v>
      </c>
      <c r="C63" s="3229">
        <v>19480</v>
      </c>
      <c r="D63" s="3229">
        <v>16830</v>
      </c>
      <c r="E63" s="3229">
        <v>21590</v>
      </c>
      <c r="F63" s="3229">
        <v>4560</v>
      </c>
      <c r="G63" s="3229">
        <v>11420</v>
      </c>
      <c r="N63" s="3229" t="s">
        <v>3064</v>
      </c>
    </row>
    <row r="64" spans="1:17" ht="14.25" customHeight="1" thickBot="1">
      <c r="A64" s="3229" t="s">
        <v>110</v>
      </c>
      <c r="B64" s="3229" t="s">
        <v>196</v>
      </c>
      <c r="C64" s="3229">
        <v>16920</v>
      </c>
      <c r="D64" s="3229">
        <v>19190</v>
      </c>
      <c r="E64" s="3229">
        <v>22200</v>
      </c>
      <c r="F64" s="3229">
        <v>4390</v>
      </c>
      <c r="G64" s="3229">
        <v>13030</v>
      </c>
      <c r="N64" s="3236" t="s">
        <v>3065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2936</v>
      </c>
      <c r="C78" s="3229">
        <v>19820</v>
      </c>
      <c r="D78" s="3229">
        <v>19780</v>
      </c>
      <c r="E78" s="3229">
        <v>18560</v>
      </c>
      <c r="F78" s="3229"/>
      <c r="G78" s="3229">
        <v>13430</v>
      </c>
    </row>
    <row r="79" spans="1:7" s="3218" customFormat="1" ht="14.25" customHeight="1">
      <c r="A79" s="3229" t="s">
        <v>110</v>
      </c>
      <c r="B79" s="3229" t="s">
        <v>2939</v>
      </c>
      <c r="C79" s="3229">
        <v>21660</v>
      </c>
      <c r="D79" s="3229">
        <v>18000</v>
      </c>
      <c r="E79" s="3229">
        <v>22570</v>
      </c>
      <c r="F79" s="3229"/>
      <c r="G79" s="3229">
        <v>12220</v>
      </c>
    </row>
    <row r="80" spans="1:7" s="3218" customFormat="1" ht="14.25" customHeight="1">
      <c r="A80" s="3229" t="s">
        <v>110</v>
      </c>
      <c r="B80" s="3229" t="s">
        <v>2943</v>
      </c>
      <c r="C80" s="3229">
        <v>19850</v>
      </c>
      <c r="D80" s="3229"/>
      <c r="E80" s="3229">
        <v>21700</v>
      </c>
      <c r="F80" s="3229"/>
      <c r="G80" s="3229"/>
    </row>
    <row r="81" spans="1:7" s="3218" customFormat="1" ht="14.25" customHeight="1">
      <c r="A81" s="3229" t="s">
        <v>110</v>
      </c>
      <c r="B81" s="3229" t="s">
        <v>2948</v>
      </c>
      <c r="C81" s="3229">
        <v>18080</v>
      </c>
      <c r="D81" s="3229"/>
      <c r="E81" s="3229">
        <v>20900</v>
      </c>
      <c r="F81" s="3229"/>
      <c r="G81" s="3229"/>
    </row>
    <row r="82" spans="1:7" s="3218" customFormat="1" ht="14.25" customHeight="1">
      <c r="A82" s="3229" t="s">
        <v>110</v>
      </c>
      <c r="B82" s="3229" t="s">
        <v>2955</v>
      </c>
      <c r="C82" s="3229"/>
      <c r="D82" s="3229"/>
      <c r="E82" s="3229">
        <v>20840</v>
      </c>
      <c r="F82" s="3229"/>
      <c r="G82" s="3229"/>
    </row>
    <row r="83" spans="1:7" s="3218" customFormat="1" ht="14.25" customHeight="1">
      <c r="A83" s="3229" t="s">
        <v>110</v>
      </c>
      <c r="B83" s="3229" t="s">
        <v>3066</v>
      </c>
      <c r="C83" s="3229"/>
      <c r="D83" s="3229"/>
      <c r="E83" s="3229"/>
      <c r="F83" s="3229">
        <v>4770</v>
      </c>
      <c r="G83" s="3229"/>
    </row>
    <row r="84" spans="1:7" s="3218" customFormat="1" ht="14.25" customHeight="1">
      <c r="A84" s="3229" t="s">
        <v>110</v>
      </c>
      <c r="B84" s="3229" t="s">
        <v>3067</v>
      </c>
      <c r="C84" s="3229"/>
      <c r="D84" s="3229"/>
      <c r="E84" s="3229"/>
      <c r="F84" s="3229">
        <v>4600</v>
      </c>
      <c r="G84" s="3229"/>
    </row>
    <row r="85" spans="1:7" s="3218" customFormat="1" ht="14.25" customHeight="1">
      <c r="A85" s="3229" t="s">
        <v>110</v>
      </c>
      <c r="B85" s="3229" t="s">
        <v>3068</v>
      </c>
      <c r="C85" s="3229"/>
      <c r="D85" s="3229"/>
      <c r="E85" s="3229"/>
      <c r="F85" s="3229">
        <v>4680</v>
      </c>
      <c r="G85" s="3229"/>
    </row>
    <row r="86" spans="1:7" s="3218" customFormat="1" ht="14.25" customHeight="1" thickBot="1">
      <c r="A86" s="3237" t="s">
        <v>110</v>
      </c>
      <c r="B86" s="3239" t="s">
        <v>3069</v>
      </c>
      <c r="C86" s="3240">
        <v>16610</v>
      </c>
      <c r="D86" s="3240">
        <v>16540</v>
      </c>
      <c r="E86" s="3240">
        <v>18850</v>
      </c>
      <c r="F86" s="3240"/>
      <c r="G86" s="3240">
        <v>11220</v>
      </c>
    </row>
    <row r="87" spans="1:7" s="3218" customFormat="1" ht="14.25" customHeight="1">
      <c r="A87" s="3234" t="s">
        <v>303</v>
      </c>
      <c r="B87" s="3225" t="s">
        <v>3070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2949</v>
      </c>
      <c r="C113" s="3229">
        <v>15520</v>
      </c>
      <c r="D113" s="3229">
        <v>15450</v>
      </c>
      <c r="E113" s="3229"/>
      <c r="F113" s="3229"/>
      <c r="G113" s="3242">
        <v>10210</v>
      </c>
    </row>
    <row r="114" spans="1:7" s="3218" customFormat="1" ht="14.25" customHeight="1">
      <c r="A114" s="3229" t="s">
        <v>303</v>
      </c>
      <c r="B114" s="3229" t="s">
        <v>2956</v>
      </c>
      <c r="C114" s="3229">
        <v>13110</v>
      </c>
      <c r="D114" s="3229">
        <v>13050</v>
      </c>
      <c r="E114" s="3229"/>
      <c r="F114" s="3229"/>
      <c r="G114" s="3242">
        <v>8620</v>
      </c>
    </row>
    <row r="115" spans="1:7" s="3218" customFormat="1" ht="14.25" customHeight="1">
      <c r="A115" s="3229" t="s">
        <v>303</v>
      </c>
      <c r="B115" s="3229" t="s">
        <v>2962</v>
      </c>
      <c r="C115" s="3229">
        <v>12460</v>
      </c>
      <c r="D115" s="3229">
        <v>12390</v>
      </c>
      <c r="E115" s="3229"/>
      <c r="F115" s="3229"/>
      <c r="G115" s="3242">
        <v>8190</v>
      </c>
    </row>
    <row r="116" spans="1:7" s="3218" customFormat="1" ht="14.25" customHeight="1">
      <c r="A116" s="3229" t="s">
        <v>303</v>
      </c>
      <c r="B116" s="3229" t="s">
        <v>2969</v>
      </c>
      <c r="C116" s="3229">
        <v>13580</v>
      </c>
      <c r="D116" s="3229">
        <v>13520</v>
      </c>
      <c r="E116" s="3229"/>
      <c r="F116" s="3229"/>
      <c r="G116" s="3242">
        <v>8930</v>
      </c>
    </row>
    <row r="117" spans="1:7" s="3218" customFormat="1" ht="14.25" customHeight="1">
      <c r="A117" s="3229" t="s">
        <v>303</v>
      </c>
      <c r="B117" s="3229" t="s">
        <v>2976</v>
      </c>
      <c r="C117" s="3229">
        <v>17120</v>
      </c>
      <c r="D117" s="3229">
        <v>17040</v>
      </c>
      <c r="E117" s="3229"/>
      <c r="F117" s="3229"/>
      <c r="G117" s="3242">
        <v>11260</v>
      </c>
    </row>
    <row r="118" spans="1:7" s="3218" customFormat="1" ht="14.25" customHeight="1">
      <c r="A118" s="3229" t="s">
        <v>303</v>
      </c>
      <c r="B118" s="3229" t="s">
        <v>2981</v>
      </c>
      <c r="C118" s="3229">
        <v>14860</v>
      </c>
      <c r="D118" s="3229">
        <v>14790</v>
      </c>
      <c r="E118" s="3229"/>
      <c r="F118" s="3229"/>
      <c r="G118" s="3242">
        <v>9780</v>
      </c>
    </row>
    <row r="119" spans="1:7" s="3218" customFormat="1" ht="14.25" customHeight="1">
      <c r="A119" s="3229" t="s">
        <v>303</v>
      </c>
      <c r="B119" s="3229" t="s">
        <v>2985</v>
      </c>
      <c r="C119" s="3229">
        <v>16470</v>
      </c>
      <c r="D119" s="3229">
        <v>16400</v>
      </c>
      <c r="E119" s="3229"/>
      <c r="F119" s="3229"/>
      <c r="G119" s="3242">
        <v>10840</v>
      </c>
    </row>
    <row r="120" spans="1:7" s="3218" customFormat="1" ht="14.25" customHeight="1">
      <c r="A120" s="3229" t="s">
        <v>303</v>
      </c>
      <c r="B120" s="3229" t="s">
        <v>3071</v>
      </c>
      <c r="C120" s="3229"/>
      <c r="D120" s="3229"/>
      <c r="E120" s="3229"/>
      <c r="F120" s="3229">
        <v>4160</v>
      </c>
      <c r="G120" s="3242"/>
    </row>
    <row r="121" spans="1:7" s="3218" customFormat="1" ht="14.25" customHeight="1">
      <c r="A121" s="3229" t="s">
        <v>303</v>
      </c>
      <c r="B121" s="3229" t="s">
        <v>3072</v>
      </c>
      <c r="C121" s="3229"/>
      <c r="D121" s="3229"/>
      <c r="E121" s="3229"/>
      <c r="F121" s="3229">
        <v>3880</v>
      </c>
      <c r="G121" s="3242"/>
    </row>
    <row r="122" spans="1:7" s="3218" customFormat="1" ht="14.25" customHeight="1">
      <c r="A122" s="3229" t="s">
        <v>303</v>
      </c>
      <c r="B122" s="3229" t="s">
        <v>3073</v>
      </c>
      <c r="C122" s="3229">
        <v>13750</v>
      </c>
      <c r="D122" s="3229">
        <v>13680</v>
      </c>
      <c r="E122" s="3229">
        <v>16460</v>
      </c>
      <c r="F122" s="3229">
        <v>2880</v>
      </c>
      <c r="G122" s="3242">
        <v>9040</v>
      </c>
    </row>
    <row r="123" spans="1:7" s="3218" customFormat="1" ht="14.25" customHeight="1">
      <c r="A123" s="3229" t="s">
        <v>303</v>
      </c>
      <c r="B123" s="3229" t="s">
        <v>3004</v>
      </c>
      <c r="C123" s="3229">
        <v>13590</v>
      </c>
      <c r="D123" s="3229">
        <v>13520</v>
      </c>
      <c r="E123" s="3229">
        <v>16290</v>
      </c>
      <c r="F123" s="3229">
        <v>2790</v>
      </c>
      <c r="G123" s="3242">
        <v>8930</v>
      </c>
    </row>
    <row r="124" spans="1:7" s="3218" customFormat="1" ht="14.25" customHeight="1">
      <c r="A124" s="3229" t="s">
        <v>303</v>
      </c>
      <c r="B124" s="3229" t="s">
        <v>3009</v>
      </c>
      <c r="C124" s="3229">
        <v>13400</v>
      </c>
      <c r="D124" s="3229">
        <v>13320</v>
      </c>
      <c r="E124" s="3229">
        <v>16100</v>
      </c>
      <c r="F124" s="3229">
        <v>2320</v>
      </c>
      <c r="G124" s="3242">
        <v>8800</v>
      </c>
    </row>
    <row r="125" spans="1:7" s="3218" customFormat="1" ht="14.25" customHeight="1">
      <c r="A125" s="3229" t="s">
        <v>303</v>
      </c>
      <c r="B125" s="3229" t="s">
        <v>3014</v>
      </c>
      <c r="C125" s="3229">
        <v>12860</v>
      </c>
      <c r="D125" s="3229">
        <v>12790</v>
      </c>
      <c r="E125" s="3229">
        <v>15370</v>
      </c>
      <c r="F125" s="3229">
        <v>2280</v>
      </c>
      <c r="G125" s="3242">
        <v>8450</v>
      </c>
    </row>
    <row r="126" spans="1:7" s="3218" customFormat="1" ht="14.25" customHeight="1" thickBot="1">
      <c r="A126" s="3243" t="s">
        <v>303</v>
      </c>
      <c r="B126" s="3236" t="s">
        <v>3019</v>
      </c>
      <c r="C126" s="3236">
        <v>12960</v>
      </c>
      <c r="D126" s="3236">
        <v>12890</v>
      </c>
      <c r="E126" s="3236">
        <v>15530</v>
      </c>
      <c r="F126" s="3236">
        <v>2910</v>
      </c>
      <c r="G126" s="3244">
        <v>8520</v>
      </c>
    </row>
    <row r="127" spans="1:7" s="3218" customFormat="1" ht="14.25" customHeight="1">
      <c r="A127" s="3234" t="s">
        <v>29</v>
      </c>
      <c r="B127" s="3225" t="s">
        <v>3074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3075</v>
      </c>
      <c r="C148" s="3229">
        <v>10370</v>
      </c>
      <c r="D148" s="3229">
        <v>10310</v>
      </c>
      <c r="E148" s="3229">
        <v>12970</v>
      </c>
      <c r="F148" s="3229"/>
      <c r="G148" s="3229">
        <v>6630</v>
      </c>
    </row>
    <row r="149" spans="1:7" s="3218" customFormat="1" ht="14.25" customHeight="1">
      <c r="A149" s="3229" t="s">
        <v>29</v>
      </c>
      <c r="B149" s="3229" t="s">
        <v>3076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2950</v>
      </c>
      <c r="C153" s="3229">
        <v>10880</v>
      </c>
      <c r="D153" s="3229">
        <v>10820</v>
      </c>
      <c r="E153" s="3229">
        <v>13660</v>
      </c>
      <c r="F153" s="3229">
        <v>2260</v>
      </c>
      <c r="G153" s="3229">
        <v>6970</v>
      </c>
    </row>
    <row r="154" spans="1:7" s="3218" customFormat="1" ht="14.25" customHeight="1">
      <c r="A154" s="3229" t="s">
        <v>29</v>
      </c>
      <c r="B154" s="3229" t="s">
        <v>3077</v>
      </c>
      <c r="C154" s="3229">
        <v>11220</v>
      </c>
      <c r="D154" s="3229">
        <v>11160</v>
      </c>
      <c r="E154" s="3229">
        <v>14130</v>
      </c>
      <c r="F154" s="3229">
        <v>2230</v>
      </c>
      <c r="G154" s="3229">
        <v>7180</v>
      </c>
    </row>
    <row r="155" spans="1:7" s="3218" customFormat="1" ht="14.25" customHeight="1">
      <c r="A155" s="3229" t="s">
        <v>29</v>
      </c>
      <c r="B155" s="3229" t="s">
        <v>2963</v>
      </c>
      <c r="C155" s="3229">
        <v>10430</v>
      </c>
      <c r="D155" s="3229">
        <v>10380</v>
      </c>
      <c r="E155" s="3229">
        <v>13140</v>
      </c>
      <c r="F155" s="3229">
        <v>2080</v>
      </c>
      <c r="G155" s="3229">
        <v>6650</v>
      </c>
    </row>
    <row r="156" spans="1:7" s="3218" customFormat="1" ht="14.25" customHeight="1">
      <c r="A156" s="3229" t="s">
        <v>29</v>
      </c>
      <c r="B156" s="3229" t="s">
        <v>3078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3079</v>
      </c>
      <c r="C160" s="3229">
        <v>11180</v>
      </c>
      <c r="D160" s="3229">
        <v>11140</v>
      </c>
      <c r="E160" s="3229">
        <v>14050</v>
      </c>
      <c r="F160" s="3229">
        <v>2270</v>
      </c>
      <c r="G160" s="3229">
        <v>7170</v>
      </c>
    </row>
    <row r="161" spans="1:7" s="3218" customFormat="1" ht="14.25" customHeight="1">
      <c r="A161" s="3229" t="s">
        <v>29</v>
      </c>
      <c r="B161" s="3229" t="s">
        <v>2995</v>
      </c>
      <c r="C161" s="3229">
        <v>11160</v>
      </c>
      <c r="D161" s="3229">
        <v>11120</v>
      </c>
      <c r="E161" s="3229">
        <v>14020</v>
      </c>
      <c r="F161" s="3229">
        <v>2150</v>
      </c>
      <c r="G161" s="3229">
        <v>7160</v>
      </c>
    </row>
    <row r="162" spans="1:7" s="3218" customFormat="1" ht="14.25" customHeight="1">
      <c r="A162" s="3229" t="s">
        <v>29</v>
      </c>
      <c r="B162" s="3229" t="s">
        <v>3000</v>
      </c>
      <c r="C162" s="3229">
        <v>9620</v>
      </c>
      <c r="D162" s="3229">
        <v>9570</v>
      </c>
      <c r="E162" s="3229">
        <v>12320</v>
      </c>
      <c r="F162" s="3229">
        <v>2010</v>
      </c>
      <c r="G162" s="3229">
        <v>6160</v>
      </c>
    </row>
    <row r="163" spans="1:7" s="3218" customFormat="1" ht="14.25" customHeight="1">
      <c r="A163" s="3229" t="s">
        <v>29</v>
      </c>
      <c r="B163" s="3229" t="s">
        <v>3005</v>
      </c>
      <c r="C163" s="3229">
        <v>9320</v>
      </c>
      <c r="D163" s="3229">
        <v>9270</v>
      </c>
      <c r="E163" s="3229">
        <v>11790</v>
      </c>
      <c r="F163" s="3229">
        <v>1920</v>
      </c>
      <c r="G163" s="3229">
        <v>5960</v>
      </c>
    </row>
    <row r="164" spans="1:7" s="3218" customFormat="1" ht="14.25" customHeight="1">
      <c r="A164" s="3229" t="s">
        <v>29</v>
      </c>
      <c r="B164" s="3229" t="s">
        <v>3010</v>
      </c>
      <c r="C164" s="3229"/>
      <c r="D164" s="3229"/>
      <c r="E164" s="3229"/>
      <c r="F164" s="3229">
        <v>1980</v>
      </c>
      <c r="G164" s="3229"/>
    </row>
    <row r="165" spans="1:7" s="3218" customFormat="1" ht="14.25" customHeight="1">
      <c r="A165" s="3229" t="s">
        <v>29</v>
      </c>
      <c r="B165" s="3229" t="s">
        <v>3080</v>
      </c>
      <c r="C165" s="3229">
        <v>11060</v>
      </c>
      <c r="D165" s="3229">
        <v>11030</v>
      </c>
      <c r="E165" s="3229">
        <v>13850</v>
      </c>
      <c r="F165" s="3229">
        <v>2170</v>
      </c>
      <c r="G165" s="3229">
        <v>7090</v>
      </c>
    </row>
    <row r="166" spans="1:7" s="3218" customFormat="1" ht="14.25" customHeight="1">
      <c r="A166" s="3229" t="s">
        <v>29</v>
      </c>
      <c r="B166" s="3229" t="s">
        <v>3020</v>
      </c>
      <c r="C166" s="3229">
        <v>11050</v>
      </c>
      <c r="D166" s="3229">
        <v>11010</v>
      </c>
      <c r="E166" s="3229">
        <v>13920</v>
      </c>
      <c r="F166" s="3229">
        <v>2140</v>
      </c>
      <c r="G166" s="3229">
        <v>7080</v>
      </c>
    </row>
    <row r="167" spans="1:7" s="3218" customFormat="1" ht="14.25" customHeight="1">
      <c r="A167" s="3229" t="s">
        <v>29</v>
      </c>
      <c r="B167" s="3229" t="s">
        <v>3024</v>
      </c>
      <c r="C167" s="3229">
        <v>10930</v>
      </c>
      <c r="D167" s="3229">
        <v>10890</v>
      </c>
      <c r="E167" s="3229">
        <v>13790</v>
      </c>
      <c r="F167" s="3229">
        <v>2010</v>
      </c>
      <c r="G167" s="3229">
        <v>7000</v>
      </c>
    </row>
    <row r="168" spans="1:7" s="3218" customFormat="1" ht="14.25" customHeight="1">
      <c r="A168" s="3229" t="s">
        <v>29</v>
      </c>
      <c r="B168" s="3229" t="s">
        <v>3029</v>
      </c>
      <c r="C168" s="3229">
        <v>9420</v>
      </c>
      <c r="D168" s="3229">
        <v>9380</v>
      </c>
      <c r="E168" s="3229">
        <v>11970</v>
      </c>
      <c r="F168" s="3229"/>
      <c r="G168" s="3229">
        <v>6040</v>
      </c>
    </row>
    <row r="169" spans="1:7" s="3218" customFormat="1" ht="14.25" customHeight="1">
      <c r="A169" s="3229" t="s">
        <v>29</v>
      </c>
      <c r="B169" s="3229" t="s">
        <v>3081</v>
      </c>
      <c r="C169" s="3229"/>
      <c r="D169" s="3229"/>
      <c r="E169" s="3229"/>
      <c r="F169" s="3229">
        <v>2880</v>
      </c>
      <c r="G169" s="3229"/>
    </row>
    <row r="170" spans="1:7" s="3218" customFormat="1" ht="14.25" customHeight="1">
      <c r="A170" s="3229" t="s">
        <v>29</v>
      </c>
      <c r="B170" s="3229" t="s">
        <v>3037</v>
      </c>
      <c r="C170" s="3229"/>
      <c r="D170" s="3229"/>
      <c r="E170" s="3229"/>
      <c r="F170" s="3229">
        <v>2880</v>
      </c>
      <c r="G170" s="3229"/>
    </row>
    <row r="171" spans="1:7" s="3218" customFormat="1" ht="14.25" customHeight="1">
      <c r="A171" s="3229" t="s">
        <v>29</v>
      </c>
      <c r="B171" s="3229" t="s">
        <v>3040</v>
      </c>
      <c r="C171" s="3229"/>
      <c r="D171" s="3229"/>
      <c r="E171" s="3229"/>
      <c r="F171" s="3229">
        <v>2880</v>
      </c>
      <c r="G171" s="3229"/>
    </row>
    <row r="172" spans="1:7" s="3218" customFormat="1" ht="14.25" customHeight="1">
      <c r="A172" s="3229" t="s">
        <v>29</v>
      </c>
      <c r="B172" s="3229" t="s">
        <v>3042</v>
      </c>
      <c r="C172" s="3229"/>
      <c r="D172" s="3229"/>
      <c r="E172" s="3229"/>
      <c r="F172" s="3229">
        <v>2880</v>
      </c>
      <c r="G172" s="3229"/>
    </row>
    <row r="173" spans="1:7" s="3218" customFormat="1" ht="14.25" customHeight="1">
      <c r="A173" s="3229" t="s">
        <v>29</v>
      </c>
      <c r="B173" s="3229" t="s">
        <v>3044</v>
      </c>
      <c r="C173" s="3229"/>
      <c r="D173" s="3229"/>
      <c r="E173" s="3229"/>
      <c r="F173" s="3229">
        <v>2150</v>
      </c>
      <c r="G173" s="3229"/>
    </row>
    <row r="174" spans="1:7" s="3218" customFormat="1" ht="14.25" customHeight="1">
      <c r="A174" s="3229" t="s">
        <v>29</v>
      </c>
      <c r="B174" s="3229" t="s">
        <v>3046</v>
      </c>
      <c r="C174" s="3229"/>
      <c r="D174" s="3229"/>
      <c r="E174" s="3229"/>
      <c r="F174" s="3229">
        <v>2030</v>
      </c>
      <c r="G174" s="3229"/>
    </row>
    <row r="175" spans="1:7" s="3218" customFormat="1" ht="14.25" customHeight="1">
      <c r="A175" s="3229" t="s">
        <v>29</v>
      </c>
      <c r="B175" s="3229" t="s">
        <v>3048</v>
      </c>
      <c r="C175" s="3229"/>
      <c r="D175" s="3229"/>
      <c r="E175" s="3229"/>
      <c r="F175" s="3229">
        <v>2780</v>
      </c>
      <c r="G175" s="3229"/>
    </row>
    <row r="176" spans="1:7" s="3218" customFormat="1" ht="14.25" customHeight="1">
      <c r="A176" s="3229" t="s">
        <v>29</v>
      </c>
      <c r="B176" s="3229" t="s">
        <v>3050</v>
      </c>
      <c r="C176" s="3229"/>
      <c r="D176" s="3229"/>
      <c r="E176" s="3229"/>
      <c r="F176" s="3229">
        <v>2780</v>
      </c>
      <c r="G176" s="3229"/>
    </row>
    <row r="177" spans="1:7" s="3218" customFormat="1" ht="14.25" customHeight="1">
      <c r="A177" s="3229" t="s">
        <v>29</v>
      </c>
      <c r="B177" s="3229" t="s">
        <v>3082</v>
      </c>
      <c r="C177" s="3229"/>
      <c r="D177" s="3229"/>
      <c r="E177" s="3229"/>
      <c r="F177" s="3229">
        <v>2780</v>
      </c>
      <c r="G177" s="3229"/>
    </row>
    <row r="178" spans="1:7" s="3218" customFormat="1" ht="14.25" customHeight="1">
      <c r="A178" s="3229" t="s">
        <v>29</v>
      </c>
      <c r="B178" s="3229" t="s">
        <v>3083</v>
      </c>
      <c r="C178" s="3229"/>
      <c r="D178" s="3229"/>
      <c r="E178" s="3229"/>
      <c r="F178" s="3229">
        <v>2060</v>
      </c>
      <c r="G178" s="3229"/>
    </row>
    <row r="179" spans="1:7" s="3218" customFormat="1" ht="14.25" customHeight="1">
      <c r="A179" s="3229" t="s">
        <v>29</v>
      </c>
      <c r="B179" s="3229" t="s">
        <v>3084</v>
      </c>
      <c r="C179" s="3229"/>
      <c r="D179" s="3229"/>
      <c r="E179" s="3229"/>
      <c r="F179" s="3229">
        <v>2120</v>
      </c>
      <c r="G179" s="3229"/>
    </row>
    <row r="180" spans="1:7" s="3218" customFormat="1" ht="14.25" customHeight="1">
      <c r="A180" s="3229" t="s">
        <v>29</v>
      </c>
      <c r="B180" s="3229" t="s">
        <v>3056</v>
      </c>
      <c r="C180" s="3229"/>
      <c r="D180" s="3229"/>
      <c r="E180" s="3229"/>
      <c r="F180" s="3229">
        <v>2340</v>
      </c>
      <c r="G180" s="3229"/>
    </row>
    <row r="181" spans="1:7" s="3218" customFormat="1" ht="14.25" customHeight="1">
      <c r="A181" s="3229" t="s">
        <v>29</v>
      </c>
      <c r="B181" s="3229" t="s">
        <v>3057</v>
      </c>
      <c r="C181" s="3229"/>
      <c r="D181" s="3229"/>
      <c r="E181" s="3229"/>
      <c r="F181" s="3229">
        <v>2340</v>
      </c>
      <c r="G181" s="3229"/>
    </row>
    <row r="182" spans="1:7" s="3218" customFormat="1" ht="14.25" customHeight="1">
      <c r="A182" s="3229" t="s">
        <v>29</v>
      </c>
      <c r="B182" s="3229" t="s">
        <v>3058</v>
      </c>
      <c r="C182" s="3229"/>
      <c r="D182" s="3229"/>
      <c r="E182" s="3229"/>
      <c r="F182" s="3229">
        <v>2340</v>
      </c>
      <c r="G182" s="3229"/>
    </row>
    <row r="183" spans="1:7" s="3218" customFormat="1" ht="14.25" customHeight="1">
      <c r="A183" s="3229" t="s">
        <v>29</v>
      </c>
      <c r="B183" s="3229" t="s">
        <v>3059</v>
      </c>
      <c r="C183" s="3229"/>
      <c r="D183" s="3229"/>
      <c r="E183" s="3229"/>
      <c r="F183" s="3229">
        <v>2340</v>
      </c>
      <c r="G183" s="3229"/>
    </row>
    <row r="184" spans="1:7" s="3218" customFormat="1" ht="14.25" customHeight="1">
      <c r="A184" s="3229" t="s">
        <v>29</v>
      </c>
      <c r="B184" s="3229" t="s">
        <v>3060</v>
      </c>
      <c r="C184" s="3229"/>
      <c r="D184" s="3229"/>
      <c r="E184" s="3229"/>
      <c r="F184" s="3229">
        <v>2340</v>
      </c>
      <c r="G184" s="3229"/>
    </row>
    <row r="185" spans="1:7" s="3218" customFormat="1" ht="14.25" customHeight="1">
      <c r="A185" s="3229" t="s">
        <v>29</v>
      </c>
      <c r="B185" s="3229" t="s">
        <v>3061</v>
      </c>
      <c r="C185" s="3229"/>
      <c r="D185" s="3229"/>
      <c r="E185" s="3229"/>
      <c r="F185" s="3229">
        <v>2530</v>
      </c>
      <c r="G185" s="3229"/>
    </row>
    <row r="186" spans="1:7" s="3218" customFormat="1" ht="14.25" customHeight="1">
      <c r="A186" s="3229" t="s">
        <v>29</v>
      </c>
      <c r="B186" s="3229" t="s">
        <v>3062</v>
      </c>
      <c r="C186" s="3229"/>
      <c r="D186" s="3229"/>
      <c r="E186" s="3229"/>
      <c r="F186" s="3229">
        <v>2550</v>
      </c>
      <c r="G186" s="3229"/>
    </row>
    <row r="187" spans="1:7" s="3218" customFormat="1" ht="14.25" customHeight="1">
      <c r="A187" s="3229" t="s">
        <v>29</v>
      </c>
      <c r="B187" s="3229" t="s">
        <v>3063</v>
      </c>
      <c r="C187" s="3229"/>
      <c r="D187" s="3229"/>
      <c r="E187" s="3229"/>
      <c r="F187" s="3229">
        <v>2070</v>
      </c>
      <c r="G187" s="3229"/>
    </row>
    <row r="188" spans="1:7" s="3218" customFormat="1" ht="14.25" customHeight="1">
      <c r="A188" s="3229" t="s">
        <v>29</v>
      </c>
      <c r="B188" s="3229" t="s">
        <v>3064</v>
      </c>
      <c r="C188" s="3229"/>
      <c r="D188" s="3229"/>
      <c r="E188" s="3229"/>
      <c r="F188" s="3229">
        <v>2340</v>
      </c>
      <c r="G188" s="3229"/>
    </row>
    <row r="189" spans="1:7" s="3218" customFormat="1" ht="14.25" customHeight="1" thickBot="1">
      <c r="A189" s="3237" t="s">
        <v>29</v>
      </c>
      <c r="B189" s="3240" t="s">
        <v>3065</v>
      </c>
      <c r="C189" s="3240"/>
      <c r="D189" s="3240"/>
      <c r="E189" s="3240"/>
      <c r="F189" s="3240">
        <v>2050</v>
      </c>
      <c r="G189" s="3240"/>
    </row>
    <row r="190" spans="1:7" s="3218" customFormat="1" ht="14.25" customHeight="1">
      <c r="A190" s="3234" t="s">
        <v>304</v>
      </c>
      <c r="B190" s="3225" t="s">
        <v>3085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3086</v>
      </c>
      <c r="C199" s="3229">
        <v>8690</v>
      </c>
      <c r="D199" s="3229">
        <v>8630</v>
      </c>
      <c r="E199" s="3229">
        <v>11350</v>
      </c>
      <c r="F199" s="3229">
        <v>1600</v>
      </c>
      <c r="G199" s="3242">
        <v>5450</v>
      </c>
    </row>
    <row r="200" spans="1:7" s="3218" customFormat="1" ht="14.25" customHeight="1">
      <c r="A200" s="3229" t="s">
        <v>304</v>
      </c>
      <c r="B200" s="3229" t="s">
        <v>2897</v>
      </c>
      <c r="C200" s="3229"/>
      <c r="D200" s="3229"/>
      <c r="E200" s="3229"/>
      <c r="F200" s="3229">
        <v>1510</v>
      </c>
      <c r="G200" s="3242"/>
    </row>
    <row r="201" spans="1:7" s="3218" customFormat="1" ht="14.25" customHeight="1">
      <c r="A201" s="3229" t="s">
        <v>304</v>
      </c>
      <c r="B201" s="3229" t="s">
        <v>3087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3088</v>
      </c>
      <c r="C203" s="3229">
        <v>8130</v>
      </c>
      <c r="D203" s="3229">
        <v>8070</v>
      </c>
      <c r="E203" s="3229">
        <v>10820</v>
      </c>
      <c r="F203" s="3229">
        <v>1690</v>
      </c>
      <c r="G203" s="3242">
        <v>5100</v>
      </c>
    </row>
    <row r="204" spans="1:7" s="3218" customFormat="1" ht="14.25" customHeight="1">
      <c r="A204" s="3229" t="s">
        <v>304</v>
      </c>
      <c r="B204" s="3229" t="s">
        <v>2908</v>
      </c>
      <c r="C204" s="3229">
        <v>8350</v>
      </c>
      <c r="D204" s="3229">
        <v>8290</v>
      </c>
      <c r="E204" s="3229">
        <v>11080</v>
      </c>
      <c r="F204" s="3229">
        <v>1450</v>
      </c>
      <c r="G204" s="3242">
        <v>5240</v>
      </c>
    </row>
    <row r="205" spans="1:7" s="3218" customFormat="1" ht="14.25" customHeight="1">
      <c r="A205" s="3229" t="s">
        <v>304</v>
      </c>
      <c r="B205" s="3229" t="s">
        <v>2910</v>
      </c>
      <c r="C205" s="3229">
        <v>7190</v>
      </c>
      <c r="D205" s="3229">
        <v>7130</v>
      </c>
      <c r="E205" s="3229">
        <v>9490</v>
      </c>
      <c r="F205" s="3229">
        <v>1470</v>
      </c>
      <c r="G205" s="3242">
        <v>4510</v>
      </c>
    </row>
    <row r="206" spans="1:7" s="3218" customFormat="1" ht="14.25" customHeight="1">
      <c r="A206" s="3229" t="s">
        <v>304</v>
      </c>
      <c r="B206" s="3229" t="s">
        <v>2913</v>
      </c>
      <c r="C206" s="3229">
        <v>7000</v>
      </c>
      <c r="D206" s="3229">
        <v>6950</v>
      </c>
      <c r="E206" s="3229">
        <v>9170</v>
      </c>
      <c r="F206" s="3229">
        <v>1400</v>
      </c>
      <c r="G206" s="3242">
        <v>4380</v>
      </c>
    </row>
    <row r="207" spans="1:7" s="3218" customFormat="1" ht="14.25" customHeight="1">
      <c r="A207" s="3229" t="s">
        <v>304</v>
      </c>
      <c r="B207" s="3229" t="s">
        <v>2915</v>
      </c>
      <c r="C207" s="3229">
        <v>6950</v>
      </c>
      <c r="D207" s="3229">
        <v>6900</v>
      </c>
      <c r="E207" s="3229">
        <v>9110</v>
      </c>
      <c r="F207" s="3229">
        <v>1790</v>
      </c>
      <c r="G207" s="3242">
        <v>4360</v>
      </c>
    </row>
    <row r="208" spans="1:7" s="3218" customFormat="1" ht="14.25" customHeight="1">
      <c r="A208" s="3229" t="s">
        <v>304</v>
      </c>
      <c r="B208" s="3229" t="s">
        <v>3089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2925</v>
      </c>
      <c r="C210" s="3229">
        <v>8710</v>
      </c>
      <c r="D210" s="3229">
        <v>8660</v>
      </c>
      <c r="E210" s="3229">
        <v>11440</v>
      </c>
      <c r="F210" s="3229">
        <v>1740</v>
      </c>
      <c r="G210" s="3242">
        <v>5470</v>
      </c>
    </row>
    <row r="211" spans="1:7" s="3218" customFormat="1" ht="14.25" customHeight="1">
      <c r="A211" s="3229" t="s">
        <v>304</v>
      </c>
      <c r="B211" s="3229" t="s">
        <v>3090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3091</v>
      </c>
      <c r="C214" s="3229">
        <v>8090</v>
      </c>
      <c r="D214" s="3229">
        <v>8030</v>
      </c>
      <c r="E214" s="3229">
        <v>10780</v>
      </c>
      <c r="F214" s="3229">
        <v>1570</v>
      </c>
      <c r="G214" s="3242">
        <v>5070</v>
      </c>
    </row>
    <row r="215" spans="1:7" s="3218" customFormat="1" ht="14.25" customHeight="1">
      <c r="A215" s="3229" t="s">
        <v>304</v>
      </c>
      <c r="B215" s="3229" t="s">
        <v>3092</v>
      </c>
      <c r="C215" s="3229">
        <v>7950</v>
      </c>
      <c r="D215" s="3229">
        <v>7900</v>
      </c>
      <c r="E215" s="3229">
        <v>10560</v>
      </c>
      <c r="F215" s="3229">
        <v>1630</v>
      </c>
      <c r="G215" s="3242">
        <v>4990</v>
      </c>
    </row>
    <row r="216" spans="1:7" s="3218" customFormat="1" ht="14.25" customHeight="1">
      <c r="A216" s="3229" t="s">
        <v>304</v>
      </c>
      <c r="B216" s="3229" t="s">
        <v>3093</v>
      </c>
      <c r="C216" s="3229">
        <v>8490</v>
      </c>
      <c r="D216" s="3229">
        <v>8440</v>
      </c>
      <c r="E216" s="3229">
        <v>11260</v>
      </c>
      <c r="F216" s="3229">
        <v>1690</v>
      </c>
      <c r="G216" s="3242">
        <v>5330</v>
      </c>
    </row>
    <row r="217" spans="1:7" s="3218" customFormat="1" ht="14.25" customHeight="1">
      <c r="A217" s="3229" t="s">
        <v>304</v>
      </c>
      <c r="B217" s="3229" t="s">
        <v>2958</v>
      </c>
      <c r="C217" s="3229">
        <v>8200</v>
      </c>
      <c r="D217" s="3229">
        <v>8150</v>
      </c>
      <c r="E217" s="3229">
        <v>10910</v>
      </c>
      <c r="F217" s="3229">
        <v>1670</v>
      </c>
      <c r="G217" s="3242">
        <v>5150</v>
      </c>
    </row>
    <row r="218" spans="1:7" s="3218" customFormat="1" ht="14.25" customHeight="1">
      <c r="A218" s="3229" t="s">
        <v>304</v>
      </c>
      <c r="B218" s="3229" t="s">
        <v>3094</v>
      </c>
      <c r="C218" s="3229"/>
      <c r="D218" s="3229"/>
      <c r="E218" s="3229"/>
      <c r="F218" s="3229">
        <v>2040</v>
      </c>
      <c r="G218" s="3242"/>
    </row>
    <row r="219" spans="1:7" s="3218" customFormat="1" ht="14.25" customHeight="1">
      <c r="A219" s="3229" t="s">
        <v>304</v>
      </c>
      <c r="B219" s="3229" t="s">
        <v>3095</v>
      </c>
      <c r="C219" s="3229"/>
      <c r="D219" s="3229"/>
      <c r="E219" s="3229"/>
      <c r="F219" s="3229">
        <v>2040</v>
      </c>
      <c r="G219" s="3242"/>
    </row>
    <row r="220" spans="1:7" s="3218" customFormat="1" ht="14.25" customHeight="1">
      <c r="A220" s="3229" t="s">
        <v>304</v>
      </c>
      <c r="B220" s="3229" t="s">
        <v>3096</v>
      </c>
      <c r="C220" s="3229"/>
      <c r="D220" s="3229"/>
      <c r="E220" s="3229"/>
      <c r="F220" s="3229">
        <v>2040</v>
      </c>
      <c r="G220" s="3242"/>
    </row>
    <row r="221" spans="1:7" s="3218" customFormat="1" ht="14.25" customHeight="1">
      <c r="A221" s="3229" t="s">
        <v>304</v>
      </c>
      <c r="B221" s="3229" t="s">
        <v>3097</v>
      </c>
      <c r="C221" s="3229"/>
      <c r="D221" s="3229"/>
      <c r="E221" s="3229"/>
      <c r="F221" s="3229">
        <v>2040</v>
      </c>
      <c r="G221" s="3242"/>
    </row>
    <row r="222" spans="1:7" s="3218" customFormat="1" ht="14.25" customHeight="1">
      <c r="A222" s="3229" t="s">
        <v>304</v>
      </c>
      <c r="B222" s="3229" t="s">
        <v>3098</v>
      </c>
      <c r="C222" s="3229"/>
      <c r="D222" s="3229"/>
      <c r="E222" s="3229"/>
      <c r="F222" s="3229">
        <v>2040</v>
      </c>
      <c r="G222" s="3242"/>
    </row>
    <row r="223" spans="1:7" s="3218" customFormat="1" ht="14.25" customHeight="1">
      <c r="A223" s="3229" t="s">
        <v>304</v>
      </c>
      <c r="B223" s="3229" t="s">
        <v>3099</v>
      </c>
      <c r="C223" s="3229"/>
      <c r="D223" s="3229"/>
      <c r="E223" s="3229"/>
      <c r="F223" s="3229">
        <v>1930</v>
      </c>
      <c r="G223" s="3242"/>
    </row>
    <row r="224" spans="1:7" s="3218" customFormat="1" ht="14.25" customHeight="1">
      <c r="A224" s="3229" t="s">
        <v>304</v>
      </c>
      <c r="B224" s="3229" t="s">
        <v>3100</v>
      </c>
      <c r="C224" s="3229"/>
      <c r="D224" s="3229"/>
      <c r="E224" s="3229"/>
      <c r="F224" s="3229">
        <v>1930</v>
      </c>
      <c r="G224" s="3242"/>
    </row>
    <row r="225" spans="1:7" s="3218" customFormat="1" ht="14.25" customHeight="1">
      <c r="A225" s="3229" t="s">
        <v>304</v>
      </c>
      <c r="B225" s="3229" t="s">
        <v>3101</v>
      </c>
      <c r="C225" s="3229"/>
      <c r="D225" s="3229"/>
      <c r="E225" s="3229"/>
      <c r="F225" s="3229">
        <v>1930</v>
      </c>
      <c r="G225" s="3242"/>
    </row>
    <row r="226" spans="1:7" s="3218" customFormat="1" ht="14.25" customHeight="1">
      <c r="A226" s="3229" t="s">
        <v>304</v>
      </c>
      <c r="B226" s="3229" t="s">
        <v>3102</v>
      </c>
      <c r="C226" s="3229"/>
      <c r="D226" s="3229"/>
      <c r="E226" s="3229"/>
      <c r="F226" s="3229">
        <v>1700</v>
      </c>
      <c r="G226" s="3242"/>
    </row>
    <row r="227" spans="1:7" s="3218" customFormat="1" ht="14.25" customHeight="1">
      <c r="A227" s="3229" t="s">
        <v>304</v>
      </c>
      <c r="B227" s="3229" t="s">
        <v>3103</v>
      </c>
      <c r="C227" s="3229"/>
      <c r="D227" s="3229"/>
      <c r="E227" s="3229"/>
      <c r="F227" s="3229">
        <v>1520</v>
      </c>
      <c r="G227" s="3242"/>
    </row>
    <row r="228" spans="1:7" s="3218" customFormat="1" ht="14.25" customHeight="1">
      <c r="A228" s="3229" t="s">
        <v>304</v>
      </c>
      <c r="B228" s="3229" t="s">
        <v>3104</v>
      </c>
      <c r="C228" s="3229"/>
      <c r="D228" s="3229"/>
      <c r="E228" s="3229"/>
      <c r="F228" s="3229">
        <v>1520</v>
      </c>
      <c r="G228" s="3242"/>
    </row>
    <row r="229" spans="1:7" s="3218" customFormat="1" ht="14.25" customHeight="1">
      <c r="A229" s="3229" t="s">
        <v>304</v>
      </c>
      <c r="B229" s="3229" t="s">
        <v>3021</v>
      </c>
      <c r="C229" s="3229"/>
      <c r="D229" s="3229"/>
      <c r="E229" s="3229"/>
      <c r="F229" s="3229">
        <v>1520</v>
      </c>
      <c r="G229" s="3242"/>
    </row>
    <row r="230" spans="1:7" s="3218" customFormat="1" ht="14.25" customHeight="1">
      <c r="A230" s="3229" t="s">
        <v>304</v>
      </c>
      <c r="B230" s="3229" t="s">
        <v>3105</v>
      </c>
      <c r="C230" s="3229"/>
      <c r="D230" s="3229"/>
      <c r="E230" s="3229"/>
      <c r="F230" s="3229">
        <v>1820</v>
      </c>
      <c r="G230" s="3242"/>
    </row>
    <row r="231" spans="1:7" s="3218" customFormat="1" ht="14.25" customHeight="1">
      <c r="A231" s="3229" t="s">
        <v>304</v>
      </c>
      <c r="B231" s="3229" t="s">
        <v>3106</v>
      </c>
      <c r="C231" s="3229"/>
      <c r="D231" s="3229"/>
      <c r="E231" s="3229"/>
      <c r="F231" s="3229">
        <v>1760</v>
      </c>
      <c r="G231" s="3242"/>
    </row>
    <row r="232" spans="1:7" s="3218" customFormat="1" ht="14.25" customHeight="1">
      <c r="A232" s="3229" t="s">
        <v>304</v>
      </c>
      <c r="B232" s="3229" t="s">
        <v>3107</v>
      </c>
      <c r="C232" s="3229"/>
      <c r="D232" s="3229"/>
      <c r="E232" s="3229"/>
      <c r="F232" s="3229">
        <v>1840</v>
      </c>
      <c r="G232" s="3242"/>
    </row>
    <row r="233" spans="1:7" s="3218" customFormat="1" ht="14.25" customHeight="1" thickBot="1">
      <c r="A233" s="3243" t="s">
        <v>304</v>
      </c>
      <c r="B233" s="3236" t="s">
        <v>3038</v>
      </c>
      <c r="C233" s="3236"/>
      <c r="D233" s="3236"/>
      <c r="E233" s="3236"/>
      <c r="F233" s="3236">
        <v>1770</v>
      </c>
      <c r="G233" s="3244"/>
    </row>
    <row r="234" spans="1:7" s="3218" customFormat="1" ht="14.25" customHeight="1">
      <c r="A234" s="3234" t="s">
        <v>305</v>
      </c>
      <c r="B234" s="3225" t="s">
        <v>3108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2879</v>
      </c>
      <c r="C238" s="3229">
        <v>6920</v>
      </c>
      <c r="D238" s="3229">
        <v>6890</v>
      </c>
      <c r="E238" s="3229">
        <v>8640</v>
      </c>
      <c r="F238" s="3229">
        <v>1310</v>
      </c>
      <c r="G238" s="3229">
        <v>4230</v>
      </c>
    </row>
    <row r="239" spans="1:7" s="3218" customFormat="1" ht="14.25" customHeight="1">
      <c r="A239" s="3229" t="s">
        <v>305</v>
      </c>
      <c r="B239" s="3229" t="s">
        <v>3109</v>
      </c>
      <c r="C239" s="3229">
        <v>6780</v>
      </c>
      <c r="D239" s="3229">
        <v>6750</v>
      </c>
      <c r="E239" s="3229">
        <v>8440</v>
      </c>
      <c r="F239" s="3229">
        <v>1160</v>
      </c>
      <c r="G239" s="3229">
        <v>4140</v>
      </c>
    </row>
    <row r="240" spans="1:7" s="3218" customFormat="1" ht="14.25" customHeight="1">
      <c r="A240" s="3229" t="s">
        <v>305</v>
      </c>
      <c r="B240" s="3229" t="s">
        <v>3110</v>
      </c>
      <c r="C240" s="3229">
        <v>5420</v>
      </c>
      <c r="D240" s="3229">
        <v>5380</v>
      </c>
      <c r="E240" s="3229">
        <v>6640</v>
      </c>
      <c r="F240" s="3229">
        <v>1020</v>
      </c>
      <c r="G240" s="3229">
        <v>3300</v>
      </c>
    </row>
    <row r="241" spans="1:7" s="3218" customFormat="1" ht="14.25" customHeight="1">
      <c r="A241" s="3229" t="s">
        <v>305</v>
      </c>
      <c r="B241" s="3229" t="s">
        <v>3111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2941</v>
      </c>
      <c r="C258" s="3229">
        <v>6190</v>
      </c>
      <c r="D258" s="3229">
        <v>6160</v>
      </c>
      <c r="E258" s="3229">
        <v>7680</v>
      </c>
      <c r="F258" s="3229">
        <v>1170</v>
      </c>
      <c r="G258" s="3229">
        <v>3780</v>
      </c>
    </row>
    <row r="259" spans="1:7" s="3218" customFormat="1" ht="14.25" customHeight="1">
      <c r="A259" s="3229" t="s">
        <v>305</v>
      </c>
      <c r="B259" s="3229" t="s">
        <v>3117</v>
      </c>
      <c r="C259" s="3229">
        <v>7610</v>
      </c>
      <c r="D259" s="3229">
        <v>7570</v>
      </c>
      <c r="E259" s="3229">
        <v>9350</v>
      </c>
      <c r="F259" s="3229">
        <v>1350</v>
      </c>
      <c r="G259" s="3229">
        <v>4650</v>
      </c>
    </row>
    <row r="260" spans="1:7" s="3218" customFormat="1" ht="14.25" customHeight="1">
      <c r="A260" s="3229" t="s">
        <v>305</v>
      </c>
      <c r="B260" s="3229" t="s">
        <v>3118</v>
      </c>
      <c r="C260" s="3229">
        <v>6920</v>
      </c>
      <c r="D260" s="3229">
        <v>6880</v>
      </c>
      <c r="E260" s="3229">
        <v>8380</v>
      </c>
      <c r="F260" s="3229">
        <v>1160</v>
      </c>
      <c r="G260" s="3229">
        <v>4220</v>
      </c>
    </row>
    <row r="261" spans="1:7" s="3218" customFormat="1" ht="14.25" customHeight="1">
      <c r="A261" s="3229" t="s">
        <v>305</v>
      </c>
      <c r="B261" s="3229" t="s">
        <v>3119</v>
      </c>
      <c r="C261" s="3229">
        <v>6850</v>
      </c>
      <c r="D261" s="3229">
        <v>6810</v>
      </c>
      <c r="E261" s="3229">
        <v>8290</v>
      </c>
      <c r="F261" s="3229">
        <v>1130</v>
      </c>
      <c r="G261" s="3229">
        <v>4180</v>
      </c>
    </row>
    <row r="262" spans="1:7" s="3218" customFormat="1" ht="14.25" customHeight="1">
      <c r="A262" s="3229" t="s">
        <v>305</v>
      </c>
      <c r="B262" s="3229" t="s">
        <v>3120</v>
      </c>
      <c r="C262" s="3229">
        <v>5860</v>
      </c>
      <c r="D262" s="3229">
        <v>5820</v>
      </c>
      <c r="E262" s="3229">
        <v>7640</v>
      </c>
      <c r="F262" s="3229">
        <v>1070</v>
      </c>
      <c r="G262" s="3229">
        <v>3570</v>
      </c>
    </row>
    <row r="263" spans="1:7" s="3218" customFormat="1" ht="14.25" customHeight="1">
      <c r="A263" s="3229" t="s">
        <v>305</v>
      </c>
      <c r="B263" s="3229" t="s">
        <v>3121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3122</v>
      </c>
      <c r="C265" s="3229"/>
      <c r="D265" s="3229"/>
      <c r="E265" s="3229"/>
      <c r="F265" s="3229">
        <v>1500</v>
      </c>
      <c r="G265" s="3229"/>
    </row>
    <row r="266" spans="1:7" s="3218" customFormat="1" ht="14.25" customHeight="1">
      <c r="A266" s="3229" t="s">
        <v>305</v>
      </c>
      <c r="B266" s="3229" t="s">
        <v>3123</v>
      </c>
      <c r="C266" s="3229"/>
      <c r="D266" s="3229"/>
      <c r="E266" s="3229"/>
      <c r="F266" s="3229">
        <v>1500</v>
      </c>
      <c r="G266" s="3229"/>
    </row>
    <row r="267" spans="1:7" s="3218" customFormat="1" ht="14.25" customHeight="1">
      <c r="A267" s="3229" t="s">
        <v>305</v>
      </c>
      <c r="B267" s="3229" t="s">
        <v>3124</v>
      </c>
      <c r="C267" s="3229"/>
      <c r="D267" s="3229"/>
      <c r="E267" s="3229"/>
      <c r="F267" s="3229">
        <v>1500</v>
      </c>
      <c r="G267" s="3229"/>
    </row>
    <row r="268" spans="1:7" s="3218" customFormat="1" ht="14.25" customHeight="1">
      <c r="A268" s="3229" t="s">
        <v>305</v>
      </c>
      <c r="B268" s="3229" t="s">
        <v>3125</v>
      </c>
      <c r="C268" s="3229"/>
      <c r="D268" s="3229"/>
      <c r="E268" s="3229"/>
      <c r="F268" s="3229">
        <v>1290</v>
      </c>
      <c r="G268" s="3229"/>
    </row>
    <row r="269" spans="1:7" s="3218" customFormat="1" ht="14.25" customHeight="1">
      <c r="A269" s="3229" t="s">
        <v>305</v>
      </c>
      <c r="B269" s="3229" t="s">
        <v>3126</v>
      </c>
      <c r="C269" s="3229"/>
      <c r="D269" s="3229"/>
      <c r="E269" s="3229"/>
      <c r="F269" s="3229">
        <v>1150</v>
      </c>
      <c r="G269" s="3229"/>
    </row>
    <row r="270" spans="1:7" s="3218" customFormat="1" ht="14.25" customHeight="1">
      <c r="A270" s="3229" t="s">
        <v>305</v>
      </c>
      <c r="B270" s="3229" t="s">
        <v>3127</v>
      </c>
      <c r="C270" s="3229"/>
      <c r="D270" s="3229"/>
      <c r="E270" s="3229"/>
      <c r="F270" s="3229">
        <v>1380</v>
      </c>
      <c r="G270" s="3229"/>
    </row>
    <row r="271" spans="1:7" s="3218" customFormat="1" ht="14.25" customHeight="1">
      <c r="A271" s="3229" t="s">
        <v>305</v>
      </c>
      <c r="B271" s="3229" t="s">
        <v>3128</v>
      </c>
      <c r="C271" s="3229"/>
      <c r="D271" s="3229"/>
      <c r="E271" s="3229"/>
      <c r="F271" s="3229">
        <v>1460</v>
      </c>
      <c r="G271" s="3229"/>
    </row>
    <row r="272" spans="1:7" s="3218" customFormat="1" ht="14.25" customHeight="1">
      <c r="A272" s="3229" t="s">
        <v>305</v>
      </c>
      <c r="B272" s="3229" t="s">
        <v>3129</v>
      </c>
      <c r="C272" s="3229"/>
      <c r="D272" s="3229"/>
      <c r="E272" s="3229"/>
      <c r="F272" s="3229">
        <v>1460</v>
      </c>
      <c r="G272" s="3229"/>
    </row>
    <row r="273" spans="1:7" s="3218" customFormat="1" ht="14.25" customHeight="1">
      <c r="A273" s="3229" t="s">
        <v>305</v>
      </c>
      <c r="B273" s="3229" t="s">
        <v>3022</v>
      </c>
      <c r="C273" s="3229"/>
      <c r="D273" s="3229"/>
      <c r="E273" s="3229"/>
      <c r="F273" s="3229">
        <v>1490</v>
      </c>
      <c r="G273" s="3229"/>
    </row>
    <row r="274" spans="1:7" s="3218" customFormat="1" ht="14.25" customHeight="1">
      <c r="A274" s="3229" t="s">
        <v>305</v>
      </c>
      <c r="B274" s="3229" t="s">
        <v>3130</v>
      </c>
      <c r="C274" s="3229"/>
      <c r="D274" s="3229"/>
      <c r="E274" s="3229"/>
      <c r="F274" s="3229">
        <v>1490</v>
      </c>
      <c r="G274" s="3229"/>
    </row>
    <row r="275" spans="1:7" s="3218" customFormat="1" ht="14.25" customHeight="1">
      <c r="A275" s="3229" t="s">
        <v>305</v>
      </c>
      <c r="B275" s="3229" t="s">
        <v>3131</v>
      </c>
      <c r="C275" s="3229"/>
      <c r="D275" s="3229"/>
      <c r="E275" s="3229"/>
      <c r="F275" s="3229">
        <v>1220</v>
      </c>
      <c r="G275" s="3229"/>
    </row>
    <row r="276" spans="1:7" s="3218" customFormat="1" ht="14.25" customHeight="1" thickBot="1">
      <c r="A276" s="3237" t="s">
        <v>305</v>
      </c>
      <c r="B276" s="3239" t="s">
        <v>3132</v>
      </c>
      <c r="C276" s="3240"/>
      <c r="D276" s="3240"/>
      <c r="E276" s="3240"/>
      <c r="F276" s="3240">
        <v>1380</v>
      </c>
      <c r="G276" s="3240"/>
    </row>
    <row r="277" spans="1:7" s="3218" customFormat="1" ht="14.25" customHeight="1">
      <c r="A277" s="3234" t="s">
        <v>306</v>
      </c>
      <c r="B277" s="3225" t="s">
        <v>3133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3134</v>
      </c>
      <c r="C279" s="3229">
        <v>4760</v>
      </c>
      <c r="D279" s="3229">
        <v>4720</v>
      </c>
      <c r="E279" s="3229">
        <v>5540</v>
      </c>
      <c r="F279" s="3229">
        <v>810</v>
      </c>
      <c r="G279" s="3242">
        <v>2850</v>
      </c>
    </row>
    <row r="280" spans="1:7" s="3218" customFormat="1" ht="14.25" customHeight="1">
      <c r="A280" s="3229" t="s">
        <v>306</v>
      </c>
      <c r="B280" s="3229" t="s">
        <v>3135</v>
      </c>
      <c r="C280" s="3229">
        <v>4010</v>
      </c>
      <c r="D280" s="3229">
        <v>3950</v>
      </c>
      <c r="E280" s="3229">
        <v>4710</v>
      </c>
      <c r="F280" s="3229">
        <v>800</v>
      </c>
      <c r="G280" s="3242">
        <v>2390</v>
      </c>
    </row>
    <row r="281" spans="1:7" s="3218" customFormat="1" ht="14.25" customHeight="1">
      <c r="A281" s="3229" t="s">
        <v>306</v>
      </c>
      <c r="B281" s="3229" t="s">
        <v>3136</v>
      </c>
      <c r="C281" s="3229">
        <v>4480</v>
      </c>
      <c r="D281" s="3229">
        <v>4420</v>
      </c>
      <c r="E281" s="3229">
        <v>5230</v>
      </c>
      <c r="F281" s="3229">
        <v>870</v>
      </c>
      <c r="G281" s="3242">
        <v>2660</v>
      </c>
    </row>
    <row r="282" spans="1:7" s="3218" customFormat="1" ht="14.25" customHeight="1">
      <c r="A282" s="3229" t="s">
        <v>306</v>
      </c>
      <c r="B282" s="3229" t="s">
        <v>3137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2914</v>
      </c>
      <c r="C293" s="3229">
        <v>5320</v>
      </c>
      <c r="D293" s="3229">
        <v>5270</v>
      </c>
      <c r="E293" s="3229">
        <v>6160</v>
      </c>
      <c r="F293" s="3229">
        <v>990</v>
      </c>
      <c r="G293" s="3242">
        <v>3170</v>
      </c>
    </row>
    <row r="294" spans="1:7" s="3218" customFormat="1" ht="14.25" customHeight="1">
      <c r="A294" s="3229" t="s">
        <v>306</v>
      </c>
      <c r="B294" s="3229" t="s">
        <v>3140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3141</v>
      </c>
      <c r="C302" s="3229">
        <v>5520</v>
      </c>
      <c r="D302" s="3229">
        <v>5470</v>
      </c>
      <c r="E302" s="3229">
        <v>6410</v>
      </c>
      <c r="F302" s="3229">
        <v>950</v>
      </c>
      <c r="G302" s="3242">
        <v>3300</v>
      </c>
    </row>
    <row r="303" spans="1:7" s="3218" customFormat="1" ht="14.25" customHeight="1">
      <c r="A303" s="3229" t="s">
        <v>306</v>
      </c>
      <c r="B303" s="3229" t="s">
        <v>2953</v>
      </c>
      <c r="C303" s="3229">
        <v>5630</v>
      </c>
      <c r="D303" s="3229">
        <v>5590</v>
      </c>
      <c r="E303" s="3229">
        <v>6550</v>
      </c>
      <c r="F303" s="3229">
        <v>1010</v>
      </c>
      <c r="G303" s="3242">
        <v>3370</v>
      </c>
    </row>
    <row r="304" spans="1:7" s="3218" customFormat="1" ht="14.25" customHeight="1">
      <c r="A304" s="3229" t="s">
        <v>306</v>
      </c>
      <c r="B304" s="3229" t="s">
        <v>2960</v>
      </c>
      <c r="C304" s="3229">
        <v>5680</v>
      </c>
      <c r="D304" s="3229">
        <v>5620</v>
      </c>
      <c r="E304" s="3229">
        <v>6620</v>
      </c>
      <c r="F304" s="3229">
        <v>1050</v>
      </c>
      <c r="G304" s="3242">
        <v>3390</v>
      </c>
    </row>
    <row r="305" spans="1:7" s="3218" customFormat="1" ht="14.25" customHeight="1">
      <c r="A305" s="3229" t="s">
        <v>306</v>
      </c>
      <c r="B305" s="3229" t="s">
        <v>2966</v>
      </c>
      <c r="C305" s="3229">
        <v>5590</v>
      </c>
      <c r="D305" s="3229">
        <v>5530</v>
      </c>
      <c r="E305" s="3229">
        <v>6460</v>
      </c>
      <c r="F305" s="3229">
        <v>900</v>
      </c>
      <c r="G305" s="3242">
        <v>3340</v>
      </c>
    </row>
    <row r="306" spans="1:7" s="3218" customFormat="1" ht="14.25" customHeight="1">
      <c r="A306" s="3229" t="s">
        <v>306</v>
      </c>
      <c r="B306" s="3229" t="s">
        <v>3142</v>
      </c>
      <c r="C306" s="3229">
        <v>5560</v>
      </c>
      <c r="D306" s="3229">
        <v>5510</v>
      </c>
      <c r="E306" s="3229">
        <v>6440</v>
      </c>
      <c r="F306" s="3229">
        <v>900</v>
      </c>
      <c r="G306" s="3242">
        <v>3320</v>
      </c>
    </row>
    <row r="307" spans="1:7" s="3218" customFormat="1" ht="14.25" customHeight="1">
      <c r="A307" s="3229" t="s">
        <v>306</v>
      </c>
      <c r="B307" s="3229" t="s">
        <v>2978</v>
      </c>
      <c r="C307" s="3229">
        <v>5650</v>
      </c>
      <c r="D307" s="3229">
        <v>5600</v>
      </c>
      <c r="E307" s="3229">
        <v>6590</v>
      </c>
      <c r="F307" s="3229">
        <v>930</v>
      </c>
      <c r="G307" s="3242">
        <v>3380</v>
      </c>
    </row>
    <row r="308" spans="1:7" s="3218" customFormat="1" ht="14.25" customHeight="1">
      <c r="A308" s="3229" t="s">
        <v>306</v>
      </c>
      <c r="B308" s="3229" t="s">
        <v>3143</v>
      </c>
      <c r="C308" s="3229">
        <v>5620</v>
      </c>
      <c r="D308" s="3229">
        <v>5580</v>
      </c>
      <c r="E308" s="3229">
        <v>6540</v>
      </c>
      <c r="F308" s="3229">
        <v>910</v>
      </c>
      <c r="G308" s="3242">
        <v>3370</v>
      </c>
    </row>
    <row r="309" spans="1:7" s="3218" customFormat="1" ht="14.25" customHeight="1">
      <c r="A309" s="3229" t="s">
        <v>306</v>
      </c>
      <c r="B309" s="3229" t="s">
        <v>3144</v>
      </c>
      <c r="C309" s="3229">
        <v>5060</v>
      </c>
      <c r="D309" s="3229">
        <v>5020</v>
      </c>
      <c r="E309" s="3229">
        <v>6370</v>
      </c>
      <c r="F309" s="3229">
        <v>800</v>
      </c>
      <c r="G309" s="3242">
        <v>3020</v>
      </c>
    </row>
    <row r="310" spans="1:7" s="3218" customFormat="1" ht="14.25" customHeight="1">
      <c r="A310" s="3229" t="s">
        <v>306</v>
      </c>
      <c r="B310" s="3229" t="s">
        <v>2993</v>
      </c>
      <c r="C310" s="3229">
        <v>5150</v>
      </c>
      <c r="D310" s="3229">
        <v>5110</v>
      </c>
      <c r="E310" s="3229">
        <v>6500</v>
      </c>
      <c r="F310" s="3229">
        <v>880</v>
      </c>
      <c r="G310" s="3242">
        <v>3080</v>
      </c>
    </row>
    <row r="311" spans="1:7" s="3218" customFormat="1" ht="14.25" customHeight="1">
      <c r="A311" s="3229" t="s">
        <v>306</v>
      </c>
      <c r="B311" s="3229" t="s">
        <v>3145</v>
      </c>
      <c r="C311" s="3229">
        <v>4750</v>
      </c>
      <c r="D311" s="3229">
        <v>4710</v>
      </c>
      <c r="E311" s="3229">
        <v>5510</v>
      </c>
      <c r="F311" s="3229">
        <v>880</v>
      </c>
      <c r="G311" s="3242">
        <v>2840</v>
      </c>
    </row>
    <row r="312" spans="1:7" s="3218" customFormat="1" ht="14.25" customHeight="1">
      <c r="A312" s="3229" t="s">
        <v>306</v>
      </c>
      <c r="B312" s="3229" t="s">
        <v>3003</v>
      </c>
      <c r="C312" s="3229">
        <v>4690</v>
      </c>
      <c r="D312" s="3229">
        <v>4640</v>
      </c>
      <c r="E312" s="3229">
        <v>5420</v>
      </c>
      <c r="F312" s="3229">
        <v>800</v>
      </c>
      <c r="G312" s="3242">
        <v>2800</v>
      </c>
    </row>
    <row r="313" spans="1:7" s="3218" customFormat="1" ht="14.25" customHeight="1">
      <c r="A313" s="3229" t="s">
        <v>306</v>
      </c>
      <c r="B313" s="3229" t="s">
        <v>3008</v>
      </c>
      <c r="C313" s="3229">
        <v>4810</v>
      </c>
      <c r="D313" s="3229">
        <v>4760</v>
      </c>
      <c r="E313" s="3229">
        <v>5550</v>
      </c>
      <c r="F313" s="3229">
        <v>920</v>
      </c>
      <c r="G313" s="3242">
        <v>2870</v>
      </c>
    </row>
    <row r="314" spans="1:7" s="3218" customFormat="1" ht="14.25" customHeight="1">
      <c r="A314" s="3229" t="s">
        <v>306</v>
      </c>
      <c r="B314" s="3229" t="s">
        <v>3146</v>
      </c>
      <c r="C314" s="3229"/>
      <c r="D314" s="3229"/>
      <c r="E314" s="3229"/>
      <c r="F314" s="3229">
        <v>1020</v>
      </c>
      <c r="G314" s="3242"/>
    </row>
    <row r="315" spans="1:7" s="3218" customFormat="1" ht="14.25" customHeight="1">
      <c r="A315" s="3229" t="s">
        <v>306</v>
      </c>
      <c r="B315" s="3229" t="s">
        <v>3147</v>
      </c>
      <c r="C315" s="3229"/>
      <c r="D315" s="3229"/>
      <c r="E315" s="3229"/>
      <c r="F315" s="3229">
        <v>1050</v>
      </c>
      <c r="G315" s="3242"/>
    </row>
    <row r="316" spans="1:7" s="3218" customFormat="1" ht="14.25" customHeight="1">
      <c r="A316" s="3229" t="s">
        <v>306</v>
      </c>
      <c r="B316" s="3229" t="s">
        <v>3023</v>
      </c>
      <c r="C316" s="3229"/>
      <c r="D316" s="3229"/>
      <c r="E316" s="3229"/>
      <c r="F316" s="3229">
        <v>900</v>
      </c>
      <c r="G316" s="3242"/>
    </row>
    <row r="317" spans="1:7" s="3218" customFormat="1" ht="14.25" customHeight="1">
      <c r="A317" s="3229" t="s">
        <v>306</v>
      </c>
      <c r="B317" s="3229" t="s">
        <v>3148</v>
      </c>
      <c r="C317" s="3229"/>
      <c r="D317" s="3229"/>
      <c r="E317" s="3229"/>
      <c r="F317" s="3229">
        <v>920</v>
      </c>
      <c r="G317" s="3242"/>
    </row>
    <row r="318" spans="1:7" s="3218" customFormat="1" ht="14.25" customHeight="1">
      <c r="A318" s="3229" t="s">
        <v>306</v>
      </c>
      <c r="B318" s="3229" t="s">
        <v>3149</v>
      </c>
      <c r="C318" s="3229"/>
      <c r="D318" s="3229"/>
      <c r="E318" s="3229"/>
      <c r="F318" s="3229">
        <v>1080</v>
      </c>
      <c r="G318" s="3242"/>
    </row>
    <row r="319" spans="1:7" s="3218" customFormat="1" ht="14.25" customHeight="1">
      <c r="A319" s="3229" t="s">
        <v>306</v>
      </c>
      <c r="B319" s="3229" t="s">
        <v>3036</v>
      </c>
      <c r="C319" s="3229"/>
      <c r="D319" s="3229"/>
      <c r="E319" s="3229"/>
      <c r="F319" s="3229">
        <v>1020</v>
      </c>
      <c r="G319" s="3242"/>
    </row>
    <row r="320" spans="1:7" s="3218" customFormat="1" ht="14.25" customHeight="1">
      <c r="A320" s="3229" t="s">
        <v>306</v>
      </c>
      <c r="B320" s="3229" t="s">
        <v>3039</v>
      </c>
      <c r="C320" s="3229"/>
      <c r="D320" s="3229"/>
      <c r="E320" s="3229"/>
      <c r="F320" s="3229">
        <v>1050</v>
      </c>
      <c r="G320" s="3242"/>
    </row>
    <row r="321" spans="1:7" s="3218" customFormat="1" ht="14.25" customHeight="1">
      <c r="A321" s="3229" t="s">
        <v>306</v>
      </c>
      <c r="B321" s="3229" t="s">
        <v>3041</v>
      </c>
      <c r="C321" s="3229"/>
      <c r="D321" s="3229"/>
      <c r="E321" s="3229"/>
      <c r="F321" s="3229">
        <v>960</v>
      </c>
      <c r="G321" s="3242"/>
    </row>
    <row r="322" spans="1:7" s="3218" customFormat="1" ht="14.25" customHeight="1">
      <c r="A322" s="3229" t="s">
        <v>306</v>
      </c>
      <c r="B322" s="3229" t="s">
        <v>3043</v>
      </c>
      <c r="C322" s="3229"/>
      <c r="D322" s="3229"/>
      <c r="E322" s="3229"/>
      <c r="F322" s="3229">
        <v>960</v>
      </c>
      <c r="G322" s="3242"/>
    </row>
    <row r="323" spans="1:7" s="3218" customFormat="1" ht="14.25" customHeight="1">
      <c r="A323" s="3229" t="s">
        <v>306</v>
      </c>
      <c r="B323" s="3229" t="s">
        <v>3045</v>
      </c>
      <c r="C323" s="3229"/>
      <c r="D323" s="3229"/>
      <c r="E323" s="3229"/>
      <c r="F323" s="3229">
        <v>880</v>
      </c>
      <c r="G323" s="3242"/>
    </row>
    <row r="324" spans="1:7" s="3218" customFormat="1" ht="14.25" customHeight="1">
      <c r="A324" s="3229" t="s">
        <v>306</v>
      </c>
      <c r="B324" s="3229" t="s">
        <v>3047</v>
      </c>
      <c r="C324" s="3229"/>
      <c r="D324" s="3229"/>
      <c r="E324" s="3229"/>
      <c r="F324" s="3229">
        <v>930</v>
      </c>
      <c r="G324" s="3242"/>
    </row>
    <row r="325" spans="1:7" s="3218" customFormat="1" ht="14.25" customHeight="1">
      <c r="A325" s="3229" t="s">
        <v>306</v>
      </c>
      <c r="B325" s="3230" t="s">
        <v>3049</v>
      </c>
      <c r="C325" s="3229"/>
      <c r="D325" s="3229"/>
      <c r="E325" s="3229"/>
      <c r="F325" s="3229">
        <v>900</v>
      </c>
      <c r="G325" s="3242"/>
    </row>
    <row r="326" spans="1:7" s="3218" customFormat="1" ht="14.25" customHeight="1" thickBot="1">
      <c r="A326" s="3243" t="s">
        <v>306</v>
      </c>
      <c r="B326" s="3236" t="s">
        <v>3051</v>
      </c>
      <c r="C326" s="3236"/>
      <c r="D326" s="3236"/>
      <c r="E326" s="3236"/>
      <c r="F326" s="3236">
        <v>790</v>
      </c>
      <c r="G326" s="3244"/>
    </row>
    <row r="327" spans="1:7" s="3218" customFormat="1" ht="14.25" customHeight="1">
      <c r="A327" s="3234" t="s">
        <v>307</v>
      </c>
      <c r="B327" s="3225" t="s">
        <v>3150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3151</v>
      </c>
      <c r="C329" s="3229">
        <v>2730</v>
      </c>
      <c r="D329" s="3229">
        <v>2690</v>
      </c>
      <c r="E329" s="3229">
        <v>3100</v>
      </c>
      <c r="F329" s="3229">
        <v>660</v>
      </c>
      <c r="G329" s="3229">
        <v>1610</v>
      </c>
    </row>
    <row r="330" spans="1:7" s="3218" customFormat="1" ht="14.25" customHeight="1">
      <c r="A330" s="3229" t="s">
        <v>307</v>
      </c>
      <c r="B330" s="3229" t="s">
        <v>3152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2885</v>
      </c>
      <c r="C332" s="3229">
        <v>3520</v>
      </c>
      <c r="D332" s="3229">
        <v>3480</v>
      </c>
      <c r="E332" s="3229">
        <v>3830</v>
      </c>
      <c r="F332" s="3229">
        <v>720</v>
      </c>
      <c r="G332" s="3229">
        <v>2090</v>
      </c>
    </row>
    <row r="333" spans="1:7" s="3218" customFormat="1" ht="14.25" customHeight="1">
      <c r="A333" s="3229" t="s">
        <v>307</v>
      </c>
      <c r="B333" s="3229" t="s">
        <v>3153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2895</v>
      </c>
      <c r="C336" s="3229">
        <v>3570</v>
      </c>
      <c r="D336" s="3229">
        <v>3530</v>
      </c>
      <c r="E336" s="3229">
        <v>3880</v>
      </c>
      <c r="F336" s="3229">
        <v>770</v>
      </c>
      <c r="G336" s="3229">
        <v>2110</v>
      </c>
    </row>
    <row r="337" spans="1:10" s="3218" customFormat="1" ht="14.25" customHeight="1">
      <c r="A337" s="3229" t="s">
        <v>307</v>
      </c>
      <c r="B337" s="3229" t="s">
        <v>3154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2920</v>
      </c>
      <c r="C345" s="3229">
        <v>3190</v>
      </c>
      <c r="D345" s="3229">
        <v>3140</v>
      </c>
      <c r="E345" s="3229">
        <v>3450</v>
      </c>
      <c r="F345" s="3229">
        <v>720</v>
      </c>
      <c r="G345" s="3229">
        <v>1880</v>
      </c>
      <c r="J345" s="3218"/>
    </row>
    <row r="346" spans="1:10">
      <c r="A346" s="3229" t="s">
        <v>307</v>
      </c>
      <c r="B346" s="3229" t="s">
        <v>3157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2929</v>
      </c>
      <c r="C348" s="3229">
        <v>4000</v>
      </c>
      <c r="D348" s="3229">
        <v>3950</v>
      </c>
      <c r="E348" s="3229">
        <v>4430</v>
      </c>
      <c r="F348" s="3229">
        <v>760</v>
      </c>
      <c r="G348" s="3229">
        <v>2360</v>
      </c>
      <c r="J348" s="3218"/>
    </row>
    <row r="349" spans="1:10">
      <c r="A349" s="3229" t="s">
        <v>307</v>
      </c>
      <c r="B349" s="3229" t="s">
        <v>2934</v>
      </c>
      <c r="C349" s="3229">
        <v>3820</v>
      </c>
      <c r="D349" s="3229">
        <v>3780</v>
      </c>
      <c r="E349" s="3229">
        <v>4170</v>
      </c>
      <c r="F349" s="3229">
        <v>710</v>
      </c>
      <c r="G349" s="3229">
        <v>2260</v>
      </c>
      <c r="J349" s="3218"/>
    </row>
    <row r="350" spans="1:10">
      <c r="A350" s="3229" t="s">
        <v>307</v>
      </c>
      <c r="B350" s="3229" t="s">
        <v>3158</v>
      </c>
      <c r="C350" s="3229">
        <v>3760</v>
      </c>
      <c r="D350" s="3229">
        <v>3730</v>
      </c>
      <c r="E350" s="3229">
        <v>4100</v>
      </c>
      <c r="F350" s="3229">
        <v>800</v>
      </c>
      <c r="G350" s="3229">
        <v>2230</v>
      </c>
      <c r="J350" s="3218"/>
    </row>
    <row r="351" spans="1:10">
      <c r="A351" s="3229" t="s">
        <v>307</v>
      </c>
      <c r="B351" s="3229" t="s">
        <v>2942</v>
      </c>
      <c r="C351" s="3229">
        <v>3610</v>
      </c>
      <c r="D351" s="3229">
        <v>3580</v>
      </c>
      <c r="E351" s="3229">
        <v>3930</v>
      </c>
      <c r="F351" s="3229">
        <v>700</v>
      </c>
      <c r="G351" s="3229">
        <v>2140</v>
      </c>
      <c r="J351" s="3218"/>
    </row>
    <row r="352" spans="1:10">
      <c r="A352" s="3229" t="s">
        <v>307</v>
      </c>
      <c r="B352" s="3229" t="s">
        <v>2947</v>
      </c>
      <c r="C352" s="3229">
        <v>3670</v>
      </c>
      <c r="D352" s="3229">
        <v>3630</v>
      </c>
      <c r="E352" s="3229">
        <v>4000</v>
      </c>
      <c r="F352" s="3229">
        <v>750</v>
      </c>
      <c r="G352" s="3229">
        <v>2180</v>
      </c>
    </row>
    <row r="353" spans="1:7" s="3222" customFormat="1">
      <c r="A353" s="3229" t="s">
        <v>307</v>
      </c>
      <c r="B353" s="3229" t="s">
        <v>3159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2967</v>
      </c>
      <c r="C355" s="3229">
        <v>3650</v>
      </c>
      <c r="D355" s="3229">
        <v>3610</v>
      </c>
      <c r="E355" s="3229">
        <v>4200</v>
      </c>
      <c r="F355" s="3229">
        <v>640</v>
      </c>
      <c r="G355" s="3229">
        <v>2160</v>
      </c>
    </row>
    <row r="356" spans="1:7" s="3222" customFormat="1">
      <c r="A356" s="3229" t="s">
        <v>307</v>
      </c>
      <c r="B356" s="3229" t="s">
        <v>2974</v>
      </c>
      <c r="C356" s="3229">
        <v>3260</v>
      </c>
      <c r="D356" s="3229">
        <v>3230</v>
      </c>
      <c r="E356" s="3229">
        <v>3740</v>
      </c>
      <c r="F356" s="3229">
        <v>600</v>
      </c>
      <c r="G356" s="3229">
        <v>1930</v>
      </c>
    </row>
    <row r="357" spans="1:7" s="3222" customFormat="1" ht="12" thickBot="1">
      <c r="A357" s="3237" t="s">
        <v>307</v>
      </c>
      <c r="B357" s="3240" t="s">
        <v>3160</v>
      </c>
      <c r="C357" s="3240">
        <v>3690</v>
      </c>
      <c r="D357" s="3240">
        <v>3650</v>
      </c>
      <c r="E357" s="3240">
        <v>4020</v>
      </c>
      <c r="F357" s="3240">
        <v>700</v>
      </c>
      <c r="G357" s="3240">
        <v>2190</v>
      </c>
    </row>
    <row r="358" spans="1:7" s="3222" customFormat="1">
      <c r="A358" s="3234" t="s">
        <v>3161</v>
      </c>
      <c r="B358" s="3225" t="s">
        <v>3162</v>
      </c>
      <c r="C358" s="3225">
        <v>2080</v>
      </c>
      <c r="D358" s="3225">
        <v>2040</v>
      </c>
      <c r="E358" s="3225">
        <v>2010</v>
      </c>
      <c r="F358" s="3225">
        <v>530</v>
      </c>
      <c r="G358" s="3241">
        <v>1230</v>
      </c>
    </row>
    <row r="359" spans="1:7" s="3222" customFormat="1">
      <c r="A359" s="3229" t="s">
        <v>3161</v>
      </c>
      <c r="B359" s="3229" t="s">
        <v>3163</v>
      </c>
      <c r="C359" s="3229">
        <v>1850</v>
      </c>
      <c r="D359" s="3229">
        <v>1820</v>
      </c>
      <c r="E359" s="3229">
        <v>1780</v>
      </c>
      <c r="F359" s="3229">
        <v>520</v>
      </c>
      <c r="G359" s="3242">
        <v>1100</v>
      </c>
    </row>
    <row r="360" spans="1:7" s="3222" customFormat="1">
      <c r="A360" s="3229" t="s">
        <v>3161</v>
      </c>
      <c r="B360" s="3229" t="s">
        <v>3164</v>
      </c>
      <c r="C360" s="3229">
        <v>2020</v>
      </c>
      <c r="D360" s="3229">
        <v>1990</v>
      </c>
      <c r="E360" s="3229">
        <v>1950</v>
      </c>
      <c r="F360" s="3229">
        <v>500</v>
      </c>
      <c r="G360" s="3242">
        <v>1200</v>
      </c>
    </row>
    <row r="361" spans="1:7" s="3222" customFormat="1">
      <c r="A361" s="3229" t="s">
        <v>3161</v>
      </c>
      <c r="B361" s="3229" t="s">
        <v>153</v>
      </c>
      <c r="C361" s="3229">
        <v>2260</v>
      </c>
      <c r="D361" s="3229">
        <v>2220</v>
      </c>
      <c r="E361" s="3229">
        <v>2180</v>
      </c>
      <c r="F361" s="3229">
        <v>580</v>
      </c>
      <c r="G361" s="3242">
        <v>1340</v>
      </c>
    </row>
    <row r="362" spans="1:7" s="3222" customFormat="1">
      <c r="A362" s="3229" t="s">
        <v>3161</v>
      </c>
      <c r="B362" s="3229" t="s">
        <v>3165</v>
      </c>
      <c r="C362" s="3229">
        <v>2650</v>
      </c>
      <c r="D362" s="3229">
        <v>2610</v>
      </c>
      <c r="E362" s="3229">
        <v>2570</v>
      </c>
      <c r="F362" s="3229">
        <v>630</v>
      </c>
      <c r="G362" s="3242">
        <v>1570</v>
      </c>
    </row>
    <row r="363" spans="1:7" s="3222" customFormat="1">
      <c r="A363" s="3229" t="s">
        <v>3161</v>
      </c>
      <c r="B363" s="3229" t="s">
        <v>2886</v>
      </c>
      <c r="C363" s="3229">
        <v>2390</v>
      </c>
      <c r="D363" s="3229">
        <v>2360</v>
      </c>
      <c r="E363" s="3229">
        <v>2320</v>
      </c>
      <c r="F363" s="3229">
        <v>600</v>
      </c>
      <c r="G363" s="3242">
        <v>1420</v>
      </c>
    </row>
    <row r="364" spans="1:7" s="3222" customFormat="1">
      <c r="A364" s="3229" t="s">
        <v>3161</v>
      </c>
      <c r="B364" s="3229" t="s">
        <v>3166</v>
      </c>
      <c r="C364" s="3229">
        <v>2050</v>
      </c>
      <c r="D364" s="3229">
        <v>2030</v>
      </c>
      <c r="E364" s="3229">
        <v>1990</v>
      </c>
      <c r="F364" s="3229">
        <v>550</v>
      </c>
      <c r="G364" s="3242">
        <v>1220</v>
      </c>
    </row>
    <row r="365" spans="1:7" s="3222" customFormat="1">
      <c r="A365" s="3229" t="s">
        <v>3161</v>
      </c>
      <c r="B365" s="3229" t="s">
        <v>200</v>
      </c>
      <c r="C365" s="3229">
        <v>2140</v>
      </c>
      <c r="D365" s="3229">
        <v>2100</v>
      </c>
      <c r="E365" s="3229">
        <v>2060</v>
      </c>
      <c r="F365" s="3229">
        <v>540</v>
      </c>
      <c r="G365" s="3242">
        <v>1270</v>
      </c>
    </row>
    <row r="366" spans="1:7" s="3222" customFormat="1">
      <c r="A366" s="3229" t="s">
        <v>3161</v>
      </c>
      <c r="B366" s="3229" t="s">
        <v>2893</v>
      </c>
      <c r="C366" s="3229">
        <v>2410</v>
      </c>
      <c r="D366" s="3229">
        <v>2370</v>
      </c>
      <c r="E366" s="3229">
        <v>2330</v>
      </c>
      <c r="F366" s="3229">
        <v>570</v>
      </c>
      <c r="G366" s="3242">
        <v>1440</v>
      </c>
    </row>
    <row r="367" spans="1:7" s="3222" customFormat="1">
      <c r="A367" s="3229" t="s">
        <v>3161</v>
      </c>
      <c r="B367" s="3229" t="s">
        <v>3167</v>
      </c>
      <c r="C367" s="3229">
        <v>2300</v>
      </c>
      <c r="D367" s="3229">
        <v>2260</v>
      </c>
      <c r="E367" s="3229">
        <v>2220</v>
      </c>
      <c r="F367" s="3229">
        <v>560</v>
      </c>
      <c r="G367" s="3242">
        <v>1370</v>
      </c>
    </row>
    <row r="368" spans="1:7" s="3222" customFormat="1">
      <c r="A368" s="3229" t="s">
        <v>3161</v>
      </c>
      <c r="B368" s="3229" t="s">
        <v>3168</v>
      </c>
      <c r="C368" s="3229">
        <v>2430</v>
      </c>
      <c r="D368" s="3229">
        <v>2390</v>
      </c>
      <c r="E368" s="3229">
        <v>2350</v>
      </c>
      <c r="F368" s="3229">
        <v>570</v>
      </c>
      <c r="G368" s="3242">
        <v>1450</v>
      </c>
    </row>
    <row r="369" spans="1:7" s="3222" customFormat="1">
      <c r="A369" s="3229" t="s">
        <v>3161</v>
      </c>
      <c r="B369" s="3229" t="s">
        <v>214</v>
      </c>
      <c r="C369" s="3229">
        <v>2320</v>
      </c>
      <c r="D369" s="3229">
        <v>2290</v>
      </c>
      <c r="E369" s="3229">
        <v>2250</v>
      </c>
      <c r="F369" s="3229">
        <v>550</v>
      </c>
      <c r="G369" s="3242">
        <v>1380</v>
      </c>
    </row>
    <row r="370" spans="1:7" s="3222" customFormat="1">
      <c r="A370" s="3229" t="s">
        <v>3161</v>
      </c>
      <c r="B370" s="3229" t="s">
        <v>221</v>
      </c>
      <c r="C370" s="3229">
        <v>2190</v>
      </c>
      <c r="D370" s="3229">
        <v>2170</v>
      </c>
      <c r="E370" s="3229">
        <v>2130</v>
      </c>
      <c r="F370" s="3229">
        <v>530</v>
      </c>
      <c r="G370" s="3242">
        <v>1310</v>
      </c>
    </row>
    <row r="371" spans="1:7" s="3222" customFormat="1">
      <c r="A371" s="3229" t="s">
        <v>3161</v>
      </c>
      <c r="B371" s="3229" t="s">
        <v>229</v>
      </c>
      <c r="C371" s="3229">
        <v>2460</v>
      </c>
      <c r="D371" s="3229">
        <v>2420</v>
      </c>
      <c r="E371" s="3229">
        <v>2370</v>
      </c>
      <c r="F371" s="3229">
        <v>560</v>
      </c>
      <c r="G371" s="3242">
        <v>1470</v>
      </c>
    </row>
    <row r="372" spans="1:7" s="3222" customFormat="1">
      <c r="A372" s="3229" t="s">
        <v>3161</v>
      </c>
      <c r="B372" s="3229" t="s">
        <v>3169</v>
      </c>
      <c r="C372" s="3229">
        <v>2250</v>
      </c>
      <c r="D372" s="3229">
        <v>2210</v>
      </c>
      <c r="E372" s="3229">
        <v>2180</v>
      </c>
      <c r="F372" s="3229">
        <v>550</v>
      </c>
      <c r="G372" s="3242">
        <v>1340</v>
      </c>
    </row>
    <row r="373" spans="1:7" s="3222" customFormat="1">
      <c r="A373" s="3229" t="s">
        <v>3161</v>
      </c>
      <c r="B373" s="3229" t="s">
        <v>258</v>
      </c>
      <c r="C373" s="3229">
        <v>2210</v>
      </c>
      <c r="D373" s="3229">
        <v>2190</v>
      </c>
      <c r="E373" s="3229">
        <v>2150</v>
      </c>
      <c r="F373" s="3229">
        <v>530</v>
      </c>
      <c r="G373" s="3242">
        <v>1320</v>
      </c>
    </row>
    <row r="374" spans="1:7" s="3222" customFormat="1">
      <c r="A374" s="3229" t="s">
        <v>3161</v>
      </c>
      <c r="B374" s="3229" t="s">
        <v>266</v>
      </c>
      <c r="C374" s="3229">
        <v>2320</v>
      </c>
      <c r="D374" s="3229">
        <v>2280</v>
      </c>
      <c r="E374" s="3229">
        <v>2230</v>
      </c>
      <c r="F374" s="3229">
        <v>580</v>
      </c>
      <c r="G374" s="3242">
        <v>1380</v>
      </c>
    </row>
    <row r="375" spans="1:7" s="3222" customFormat="1">
      <c r="A375" s="3229" t="s">
        <v>3161</v>
      </c>
      <c r="B375" s="3229" t="s">
        <v>3170</v>
      </c>
      <c r="C375" s="3229">
        <v>2090</v>
      </c>
      <c r="D375" s="3229">
        <v>2050</v>
      </c>
      <c r="E375" s="3229">
        <v>2020</v>
      </c>
      <c r="F375" s="3229">
        <v>520</v>
      </c>
      <c r="G375" s="3242">
        <v>1240</v>
      </c>
    </row>
    <row r="376" spans="1:7" s="3222" customFormat="1">
      <c r="A376" s="3229" t="s">
        <v>3161</v>
      </c>
      <c r="B376" s="3229" t="s">
        <v>277</v>
      </c>
      <c r="C376" s="3229">
        <v>2010</v>
      </c>
      <c r="D376" s="3229">
        <v>1980</v>
      </c>
      <c r="E376" s="3229">
        <v>1940</v>
      </c>
      <c r="F376" s="3229">
        <v>540</v>
      </c>
      <c r="G376" s="3242">
        <v>1190</v>
      </c>
    </row>
    <row r="377" spans="1:7" s="3222" customFormat="1" ht="12" thickBot="1">
      <c r="A377" s="3237" t="s">
        <v>3161</v>
      </c>
      <c r="B377" s="3240" t="s">
        <v>2923</v>
      </c>
      <c r="C377" s="3240">
        <v>1930</v>
      </c>
      <c r="D377" s="3240">
        <v>1890</v>
      </c>
      <c r="E377" s="3240">
        <v>1860</v>
      </c>
      <c r="F377" s="3240">
        <v>530</v>
      </c>
      <c r="G377" s="3245">
        <v>1150</v>
      </c>
    </row>
    <row r="378" spans="1:7" s="3222" customFormat="1">
      <c r="A378" s="3246" t="s">
        <v>3171</v>
      </c>
      <c r="B378" s="3225" t="s">
        <v>3172</v>
      </c>
      <c r="C378" s="3225">
        <v>1520</v>
      </c>
      <c r="D378" s="3225">
        <v>1490</v>
      </c>
      <c r="E378" s="3225">
        <v>1460</v>
      </c>
      <c r="F378" s="3225">
        <v>460</v>
      </c>
      <c r="G378" s="3241">
        <v>940</v>
      </c>
    </row>
    <row r="379" spans="1:7" s="3222" customFormat="1">
      <c r="A379" s="3247" t="s">
        <v>3171</v>
      </c>
      <c r="B379" s="3229" t="s">
        <v>3173</v>
      </c>
      <c r="C379" s="3229">
        <v>1500</v>
      </c>
      <c r="D379" s="3229">
        <v>1470</v>
      </c>
      <c r="E379" s="3229">
        <v>1430</v>
      </c>
      <c r="F379" s="3229">
        <v>460</v>
      </c>
      <c r="G379" s="3242">
        <v>920</v>
      </c>
    </row>
    <row r="380" spans="1:7" s="3222" customFormat="1">
      <c r="A380" s="3247" t="s">
        <v>3171</v>
      </c>
      <c r="B380" s="3229" t="s">
        <v>3174</v>
      </c>
      <c r="C380" s="3229">
        <v>1620</v>
      </c>
      <c r="D380" s="3229">
        <v>1590</v>
      </c>
      <c r="E380" s="3229">
        <v>1560</v>
      </c>
      <c r="F380" s="3229">
        <v>480</v>
      </c>
      <c r="G380" s="3242">
        <v>1000</v>
      </c>
    </row>
    <row r="381" spans="1:7" s="3222" customFormat="1">
      <c r="A381" s="3247" t="s">
        <v>3171</v>
      </c>
      <c r="B381" s="3229" t="s">
        <v>3175</v>
      </c>
      <c r="C381" s="3229">
        <v>1460</v>
      </c>
      <c r="D381" s="3229">
        <v>1430</v>
      </c>
      <c r="E381" s="3229">
        <v>1390</v>
      </c>
      <c r="F381" s="3229">
        <v>450</v>
      </c>
      <c r="G381" s="3242">
        <v>900</v>
      </c>
    </row>
    <row r="382" spans="1:7" s="3222" customFormat="1">
      <c r="A382" s="3247" t="s">
        <v>3171</v>
      </c>
      <c r="B382" s="3229" t="s">
        <v>3176</v>
      </c>
      <c r="C382" s="3229">
        <v>1310</v>
      </c>
      <c r="D382" s="3229">
        <v>1280</v>
      </c>
      <c r="E382" s="3229">
        <v>1250</v>
      </c>
      <c r="F382" s="3229">
        <v>440</v>
      </c>
      <c r="G382" s="3242">
        <v>800</v>
      </c>
    </row>
    <row r="383" spans="1:7" s="3222" customFormat="1">
      <c r="A383" s="3247" t="s">
        <v>3171</v>
      </c>
      <c r="B383" s="3229" t="s">
        <v>3177</v>
      </c>
      <c r="C383" s="3229">
        <v>1260</v>
      </c>
      <c r="D383" s="3229">
        <v>1230</v>
      </c>
      <c r="E383" s="3229">
        <v>1200</v>
      </c>
      <c r="F383" s="3229">
        <v>420</v>
      </c>
      <c r="G383" s="3242">
        <v>770</v>
      </c>
    </row>
    <row r="384" spans="1:7" s="3222" customFormat="1" ht="12" thickBot="1">
      <c r="A384" s="3248" t="s">
        <v>3171</v>
      </c>
      <c r="B384" s="3236" t="s">
        <v>3178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61" t="s">
        <v>3179</v>
      </c>
      <c r="B1" s="3861"/>
    </row>
    <row r="2" spans="1:7" ht="14.25" thickBot="1">
      <c r="A2" s="3251"/>
      <c r="B2" s="3251"/>
    </row>
    <row r="3" spans="1:7" ht="14.25" thickBot="1">
      <c r="A3" s="3251"/>
      <c r="B3" s="3251"/>
      <c r="C3" s="3252" t="s">
        <v>2809</v>
      </c>
      <c r="D3" s="3252" t="s">
        <v>2865</v>
      </c>
      <c r="E3" s="3252" t="s">
        <v>2811</v>
      </c>
      <c r="F3" s="3252" t="s">
        <v>2866</v>
      </c>
      <c r="G3" s="3252" t="s">
        <v>2629</v>
      </c>
    </row>
    <row r="4" spans="1:7" ht="14.25" thickBot="1">
      <c r="A4" s="3253" t="s">
        <v>2864</v>
      </c>
      <c r="B4" s="3254" t="s">
        <v>2870</v>
      </c>
      <c r="C4" s="3252"/>
      <c r="D4" s="3252"/>
      <c r="E4" s="3252"/>
      <c r="F4" s="3252"/>
      <c r="G4" s="3252"/>
    </row>
    <row r="5" spans="1:7">
      <c r="A5" s="3255" t="s">
        <v>2838</v>
      </c>
      <c r="B5" s="3256" t="s">
        <v>2852</v>
      </c>
      <c r="C5" s="3257">
        <v>9.8000000000000004E-2</v>
      </c>
      <c r="D5" s="3257">
        <v>8.6999999999999994E-2</v>
      </c>
      <c r="E5" s="3257">
        <v>8.6999999999999994E-2</v>
      </c>
      <c r="F5" s="3257">
        <v>9.8000000000000004E-2</v>
      </c>
      <c r="G5" s="3258">
        <v>9.5000000000000001E-2</v>
      </c>
    </row>
    <row r="6" spans="1:7">
      <c r="A6" s="3259" t="s">
        <v>144</v>
      </c>
      <c r="B6" s="3260" t="s">
        <v>2867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2921</v>
      </c>
      <c r="C29" s="3269"/>
      <c r="D29" s="3265">
        <v>5.1999999999999998E-2</v>
      </c>
      <c r="E29" s="3265">
        <v>7.0000000000000007E-2</v>
      </c>
      <c r="F29" s="3269"/>
      <c r="G29" s="3267">
        <v>7.0999999999999994E-2</v>
      </c>
    </row>
    <row r="30" spans="1:7">
      <c r="A30" s="3270" t="s">
        <v>296</v>
      </c>
      <c r="B30" s="3256" t="s">
        <v>2854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2924</v>
      </c>
      <c r="C50" s="3261">
        <v>9.8000000000000004E-2</v>
      </c>
      <c r="D50" s="3261">
        <v>7.2999999999999995E-2</v>
      </c>
      <c r="E50" s="3261">
        <v>7.0999999999999994E-2</v>
      </c>
      <c r="F50" s="3272"/>
      <c r="G50" s="3262">
        <v>7.2999999999999995E-2</v>
      </c>
    </row>
    <row r="51" spans="1:7">
      <c r="A51" s="3271" t="s">
        <v>296</v>
      </c>
      <c r="B51" s="3260" t="s">
        <v>2926</v>
      </c>
      <c r="C51" s="3261">
        <v>9.9000000000000005E-2</v>
      </c>
      <c r="D51" s="3261">
        <v>8.5000000000000006E-2</v>
      </c>
      <c r="E51" s="3261">
        <v>6.3E-2</v>
      </c>
      <c r="F51" s="3272"/>
      <c r="G51" s="3262">
        <v>9.6000000000000002E-2</v>
      </c>
    </row>
    <row r="52" spans="1:7">
      <c r="A52" s="3271" t="s">
        <v>296</v>
      </c>
      <c r="B52" s="3260" t="s">
        <v>2930</v>
      </c>
      <c r="C52" s="3261">
        <v>7.3999999999999996E-2</v>
      </c>
      <c r="D52" s="3261">
        <v>9.6000000000000002E-2</v>
      </c>
      <c r="E52" s="3261">
        <v>0.05</v>
      </c>
      <c r="F52" s="3272"/>
      <c r="G52" s="3262">
        <v>9.8000000000000004E-2</v>
      </c>
    </row>
    <row r="53" spans="1:7">
      <c r="A53" s="3271" t="s">
        <v>296</v>
      </c>
      <c r="B53" s="3260" t="s">
        <v>2935</v>
      </c>
      <c r="C53" s="3261">
        <v>8.5999999999999993E-2</v>
      </c>
      <c r="D53" s="3272"/>
      <c r="E53" s="3261">
        <v>9.1999999999999998E-2</v>
      </c>
      <c r="F53" s="3272"/>
      <c r="G53" s="3273"/>
    </row>
    <row r="54" spans="1:7" ht="14.25" thickBot="1">
      <c r="A54" s="3274" t="s">
        <v>296</v>
      </c>
      <c r="B54" s="3264" t="s">
        <v>2938</v>
      </c>
      <c r="C54" s="3265">
        <v>9.6000000000000002E-2</v>
      </c>
      <c r="D54" s="3266"/>
      <c r="E54" s="3275"/>
      <c r="F54" s="3266"/>
      <c r="G54" s="3276"/>
    </row>
    <row r="55" spans="1:7">
      <c r="A55" s="3270" t="s">
        <v>110</v>
      </c>
      <c r="B55" s="3256" t="s">
        <v>2855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2936</v>
      </c>
      <c r="C78" s="3261">
        <v>0.1</v>
      </c>
      <c r="D78" s="3261">
        <v>8.5000000000000006E-2</v>
      </c>
      <c r="E78" s="3261">
        <v>9.6000000000000002E-2</v>
      </c>
      <c r="F78" s="3272"/>
      <c r="G78" s="3262">
        <v>9.6000000000000002E-2</v>
      </c>
    </row>
    <row r="79" spans="1:7">
      <c r="A79" s="3271" t="s">
        <v>110</v>
      </c>
      <c r="B79" s="3260" t="s">
        <v>2939</v>
      </c>
      <c r="C79" s="3261">
        <v>0.05</v>
      </c>
      <c r="D79" s="3261">
        <v>9.6000000000000002E-2</v>
      </c>
      <c r="E79" s="3261">
        <v>9.5000000000000001E-2</v>
      </c>
      <c r="F79" s="3272"/>
      <c r="G79" s="3262">
        <v>9.8000000000000004E-2</v>
      </c>
    </row>
    <row r="80" spans="1:7">
      <c r="A80" s="3271" t="s">
        <v>110</v>
      </c>
      <c r="B80" s="3260" t="s">
        <v>2943</v>
      </c>
      <c r="C80" s="3261">
        <v>8.5999999999999993E-2</v>
      </c>
      <c r="D80" s="3277"/>
      <c r="E80" s="3261">
        <v>0.1</v>
      </c>
      <c r="F80" s="3272"/>
      <c r="G80" s="3273"/>
    </row>
    <row r="81" spans="1:7">
      <c r="A81" s="3271" t="s">
        <v>110</v>
      </c>
      <c r="B81" s="3260" t="s">
        <v>2948</v>
      </c>
      <c r="C81" s="3261">
        <v>9.6000000000000002E-2</v>
      </c>
      <c r="D81" s="3272"/>
      <c r="E81" s="3261">
        <v>9.8000000000000004E-2</v>
      </c>
      <c r="F81" s="3272"/>
      <c r="G81" s="3273"/>
    </row>
    <row r="82" spans="1:7">
      <c r="A82" s="3271" t="s">
        <v>110</v>
      </c>
      <c r="B82" s="3260" t="s">
        <v>2955</v>
      </c>
      <c r="C82" s="3277"/>
      <c r="D82" s="3272"/>
      <c r="E82" s="3261">
        <v>7.6999999999999999E-2</v>
      </c>
      <c r="F82" s="3272"/>
      <c r="G82" s="3273"/>
    </row>
    <row r="83" spans="1:7">
      <c r="A83" s="3271" t="s">
        <v>110</v>
      </c>
      <c r="B83" s="3260" t="s">
        <v>2961</v>
      </c>
      <c r="C83" s="3272"/>
      <c r="D83" s="3272"/>
      <c r="E83" s="3272"/>
      <c r="F83" s="3261">
        <v>0.1</v>
      </c>
      <c r="G83" s="3278"/>
    </row>
    <row r="84" spans="1:7">
      <c r="A84" s="3271" t="s">
        <v>110</v>
      </c>
      <c r="B84" s="3260" t="s">
        <v>2968</v>
      </c>
      <c r="C84" s="3272"/>
      <c r="D84" s="3272"/>
      <c r="E84" s="3272"/>
      <c r="F84" s="3261">
        <v>0.1</v>
      </c>
      <c r="G84" s="3278"/>
    </row>
    <row r="85" spans="1:7">
      <c r="A85" s="3271" t="s">
        <v>110</v>
      </c>
      <c r="B85" s="3260" t="s">
        <v>2975</v>
      </c>
      <c r="C85" s="3272"/>
      <c r="D85" s="3272"/>
      <c r="E85" s="3272"/>
      <c r="F85" s="3261">
        <v>0.1</v>
      </c>
      <c r="G85" s="3278"/>
    </row>
    <row r="86" spans="1:7" ht="14.25" thickBot="1">
      <c r="A86" s="3274" t="s">
        <v>110</v>
      </c>
      <c r="B86" s="3264" t="s">
        <v>2980</v>
      </c>
      <c r="C86" s="3265">
        <v>9.8000000000000004E-2</v>
      </c>
      <c r="D86" s="3265">
        <v>9.8000000000000004E-2</v>
      </c>
      <c r="E86" s="3265">
        <v>9.6000000000000002E-2</v>
      </c>
      <c r="F86" s="3275"/>
      <c r="G86" s="3267">
        <v>0.1</v>
      </c>
    </row>
    <row r="87" spans="1:7">
      <c r="A87" s="3270" t="s">
        <v>303</v>
      </c>
      <c r="B87" s="3256" t="s">
        <v>2856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2949</v>
      </c>
      <c r="C113" s="3261">
        <v>0.1</v>
      </c>
      <c r="D113" s="3261">
        <v>0.1</v>
      </c>
      <c r="E113" s="3272"/>
      <c r="F113" s="3272"/>
      <c r="G113" s="3262">
        <v>0.1</v>
      </c>
    </row>
    <row r="114" spans="1:7">
      <c r="A114" s="3271" t="s">
        <v>303</v>
      </c>
      <c r="B114" s="3260" t="s">
        <v>2956</v>
      </c>
      <c r="C114" s="3261">
        <v>9.7000000000000003E-2</v>
      </c>
      <c r="D114" s="3261">
        <v>9.7000000000000003E-2</v>
      </c>
      <c r="E114" s="3272"/>
      <c r="F114" s="3272"/>
      <c r="G114" s="3262">
        <v>9.9000000000000005E-2</v>
      </c>
    </row>
    <row r="115" spans="1:7">
      <c r="A115" s="3271" t="s">
        <v>303</v>
      </c>
      <c r="B115" s="3260" t="s">
        <v>2962</v>
      </c>
      <c r="C115" s="3261">
        <v>0.1</v>
      </c>
      <c r="D115" s="3261">
        <v>0.1</v>
      </c>
      <c r="E115" s="3272"/>
      <c r="F115" s="3272"/>
      <c r="G115" s="3262">
        <v>0.1</v>
      </c>
    </row>
    <row r="116" spans="1:7">
      <c r="A116" s="3271" t="s">
        <v>303</v>
      </c>
      <c r="B116" s="3260" t="s">
        <v>2969</v>
      </c>
      <c r="C116" s="3261">
        <v>0.1</v>
      </c>
      <c r="D116" s="3261">
        <v>0.1</v>
      </c>
      <c r="E116" s="3272"/>
      <c r="F116" s="3272"/>
      <c r="G116" s="3262">
        <v>0.1</v>
      </c>
    </row>
    <row r="117" spans="1:7">
      <c r="A117" s="3271" t="s">
        <v>303</v>
      </c>
      <c r="B117" s="3260" t="s">
        <v>2976</v>
      </c>
      <c r="C117" s="3261">
        <v>9.7000000000000003E-2</v>
      </c>
      <c r="D117" s="3261">
        <v>9.7000000000000003E-2</v>
      </c>
      <c r="E117" s="3272"/>
      <c r="F117" s="3272"/>
      <c r="G117" s="3262">
        <v>9.7000000000000003E-2</v>
      </c>
    </row>
    <row r="118" spans="1:7">
      <c r="A118" s="3271" t="s">
        <v>303</v>
      </c>
      <c r="B118" s="3260" t="s">
        <v>2981</v>
      </c>
      <c r="C118" s="3261">
        <v>0.1</v>
      </c>
      <c r="D118" s="3261">
        <v>0.1</v>
      </c>
      <c r="E118" s="3272"/>
      <c r="F118" s="3272"/>
      <c r="G118" s="3262">
        <v>0.1</v>
      </c>
    </row>
    <row r="119" spans="1:7">
      <c r="A119" s="3271" t="s">
        <v>303</v>
      </c>
      <c r="B119" s="3260" t="s">
        <v>2985</v>
      </c>
      <c r="C119" s="3261">
        <v>5.0999999999999997E-2</v>
      </c>
      <c r="D119" s="3261">
        <v>5.1999999999999998E-2</v>
      </c>
      <c r="E119" s="3272"/>
      <c r="F119" s="3277"/>
      <c r="G119" s="3262">
        <v>0.06</v>
      </c>
    </row>
    <row r="120" spans="1:7">
      <c r="A120" s="3271" t="s">
        <v>303</v>
      </c>
      <c r="B120" s="3260" t="s">
        <v>2989</v>
      </c>
      <c r="C120" s="3272"/>
      <c r="D120" s="3272"/>
      <c r="E120" s="3272"/>
      <c r="F120" s="3261">
        <v>0.1</v>
      </c>
      <c r="G120" s="3278"/>
    </row>
    <row r="121" spans="1:7">
      <c r="A121" s="3271" t="s">
        <v>303</v>
      </c>
      <c r="B121" s="3260" t="s">
        <v>2994</v>
      </c>
      <c r="C121" s="3272"/>
      <c r="D121" s="3272"/>
      <c r="E121" s="3272"/>
      <c r="F121" s="3261">
        <v>0.1</v>
      </c>
      <c r="G121" s="3278"/>
    </row>
    <row r="122" spans="1:7">
      <c r="A122" s="3271" t="s">
        <v>303</v>
      </c>
      <c r="B122" s="3260" t="s">
        <v>2999</v>
      </c>
      <c r="C122" s="3261">
        <v>0.1</v>
      </c>
      <c r="D122" s="3261">
        <v>0.1</v>
      </c>
      <c r="E122" s="3261">
        <v>9.8000000000000004E-2</v>
      </c>
      <c r="F122" s="3261">
        <v>0.1</v>
      </c>
      <c r="G122" s="3262">
        <v>0.1</v>
      </c>
    </row>
    <row r="123" spans="1:7">
      <c r="A123" s="3271" t="s">
        <v>303</v>
      </c>
      <c r="B123" s="3260" t="s">
        <v>3004</v>
      </c>
      <c r="C123" s="3261">
        <v>0.1</v>
      </c>
      <c r="D123" s="3261">
        <v>0.1</v>
      </c>
      <c r="E123" s="3261">
        <v>9.8000000000000004E-2</v>
      </c>
      <c r="F123" s="3261">
        <v>0.1</v>
      </c>
      <c r="G123" s="3262">
        <v>0.1</v>
      </c>
    </row>
    <row r="124" spans="1:7">
      <c r="A124" s="3271" t="s">
        <v>303</v>
      </c>
      <c r="B124" s="3260" t="s">
        <v>3009</v>
      </c>
      <c r="C124" s="3261">
        <v>0.1</v>
      </c>
      <c r="D124" s="3261">
        <v>0.1</v>
      </c>
      <c r="E124" s="3261">
        <v>9.8000000000000004E-2</v>
      </c>
      <c r="F124" s="3277"/>
      <c r="G124" s="3262">
        <v>0.1</v>
      </c>
    </row>
    <row r="125" spans="1:7">
      <c r="A125" s="3271" t="s">
        <v>303</v>
      </c>
      <c r="B125" s="3260" t="s">
        <v>3014</v>
      </c>
      <c r="C125" s="3261">
        <v>9.8000000000000004E-2</v>
      </c>
      <c r="D125" s="3261">
        <v>9.8000000000000004E-2</v>
      </c>
      <c r="E125" s="3261">
        <v>9.6000000000000002E-2</v>
      </c>
      <c r="F125" s="3277"/>
      <c r="G125" s="3262">
        <v>0.1</v>
      </c>
    </row>
    <row r="126" spans="1:7" ht="14.25" thickBot="1">
      <c r="A126" s="3274" t="s">
        <v>303</v>
      </c>
      <c r="B126" s="3264" t="s">
        <v>3180</v>
      </c>
      <c r="C126" s="3265">
        <v>0.1</v>
      </c>
      <c r="D126" s="3265">
        <v>0.1</v>
      </c>
      <c r="E126" s="3265">
        <v>9.8000000000000004E-2</v>
      </c>
      <c r="F126" s="3265">
        <v>0.1</v>
      </c>
      <c r="G126" s="3267">
        <v>0.1</v>
      </c>
    </row>
    <row r="127" spans="1:7">
      <c r="A127" s="3270" t="s">
        <v>29</v>
      </c>
      <c r="B127" s="3256" t="s">
        <v>2857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2927</v>
      </c>
      <c r="C148" s="3261">
        <v>0.13</v>
      </c>
      <c r="D148" s="3261">
        <v>0.13</v>
      </c>
      <c r="E148" s="3261">
        <v>0.13</v>
      </c>
      <c r="F148" s="3272"/>
      <c r="G148" s="3262">
        <v>0.13</v>
      </c>
    </row>
    <row r="149" spans="1:7">
      <c r="A149" s="3271" t="s">
        <v>29</v>
      </c>
      <c r="B149" s="3260" t="s">
        <v>2931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2950</v>
      </c>
      <c r="C153" s="3261">
        <v>0.13</v>
      </c>
      <c r="D153" s="3261">
        <v>0.13</v>
      </c>
      <c r="E153" s="3261">
        <v>0.13</v>
      </c>
      <c r="F153" s="3261">
        <v>0.13</v>
      </c>
      <c r="G153" s="3262">
        <v>0.13</v>
      </c>
    </row>
    <row r="154" spans="1:7">
      <c r="A154" s="3271" t="s">
        <v>29</v>
      </c>
      <c r="B154" s="3260" t="s">
        <v>2957</v>
      </c>
      <c r="C154" s="3261">
        <v>0.121</v>
      </c>
      <c r="D154" s="3261">
        <v>0.121</v>
      </c>
      <c r="E154" s="3261">
        <v>0.105</v>
      </c>
      <c r="F154" s="3261">
        <v>0.121</v>
      </c>
      <c r="G154" s="3262">
        <v>0.123</v>
      </c>
    </row>
    <row r="155" spans="1:7">
      <c r="A155" s="3271" t="s">
        <v>29</v>
      </c>
      <c r="B155" s="3260" t="s">
        <v>2963</v>
      </c>
      <c r="C155" s="3261">
        <v>0.1</v>
      </c>
      <c r="D155" s="3261">
        <v>0.1</v>
      </c>
      <c r="E155" s="3261">
        <v>0.1</v>
      </c>
      <c r="F155" s="3261">
        <v>0.1</v>
      </c>
      <c r="G155" s="3262">
        <v>0.1</v>
      </c>
    </row>
    <row r="156" spans="1:7">
      <c r="A156" s="3271" t="s">
        <v>29</v>
      </c>
      <c r="B156" s="3260" t="s">
        <v>2970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2990</v>
      </c>
      <c r="C160" s="3261">
        <v>0.13</v>
      </c>
      <c r="D160" s="3261">
        <v>0.13</v>
      </c>
      <c r="E160" s="3261">
        <v>0.124</v>
      </c>
      <c r="F160" s="3261">
        <v>0.126</v>
      </c>
      <c r="G160" s="3262">
        <v>0.13</v>
      </c>
    </row>
    <row r="161" spans="1:7">
      <c r="A161" s="3271" t="s">
        <v>29</v>
      </c>
      <c r="B161" s="3260" t="s">
        <v>2995</v>
      </c>
      <c r="C161" s="3261">
        <v>0.13</v>
      </c>
      <c r="D161" s="3261">
        <v>0.13</v>
      </c>
      <c r="E161" s="3261">
        <v>0.124</v>
      </c>
      <c r="F161" s="3261">
        <v>0.127</v>
      </c>
      <c r="G161" s="3262">
        <v>0.13</v>
      </c>
    </row>
    <row r="162" spans="1:7">
      <c r="A162" s="3271" t="s">
        <v>29</v>
      </c>
      <c r="B162" s="3260" t="s">
        <v>3000</v>
      </c>
      <c r="C162" s="3261">
        <v>0.1</v>
      </c>
      <c r="D162" s="3261">
        <v>0.1</v>
      </c>
      <c r="E162" s="3261">
        <v>0.1</v>
      </c>
      <c r="F162" s="3261">
        <v>0.121</v>
      </c>
      <c r="G162" s="3262">
        <v>0.105</v>
      </c>
    </row>
    <row r="163" spans="1:7">
      <c r="A163" s="3271" t="s">
        <v>29</v>
      </c>
      <c r="B163" s="3260" t="s">
        <v>3005</v>
      </c>
      <c r="C163" s="3261">
        <v>0.1</v>
      </c>
      <c r="D163" s="3261">
        <v>0.1</v>
      </c>
      <c r="E163" s="3261">
        <v>0.1</v>
      </c>
      <c r="F163" s="3261">
        <v>0.1</v>
      </c>
      <c r="G163" s="3262">
        <v>0.1</v>
      </c>
    </row>
    <row r="164" spans="1:7">
      <c r="A164" s="3271" t="s">
        <v>29</v>
      </c>
      <c r="B164" s="3260" t="s">
        <v>3010</v>
      </c>
      <c r="C164" s="3277"/>
      <c r="D164" s="3277"/>
      <c r="E164" s="3277"/>
      <c r="F164" s="3261">
        <v>0.1</v>
      </c>
      <c r="G164" s="3273"/>
    </row>
    <row r="165" spans="1:7">
      <c r="A165" s="3271" t="s">
        <v>29</v>
      </c>
      <c r="B165" s="3260" t="s">
        <v>3181</v>
      </c>
      <c r="C165" s="3261">
        <v>0.126</v>
      </c>
      <c r="D165" s="3261">
        <v>0.126</v>
      </c>
      <c r="E165" s="3261">
        <v>0.11899999999999999</v>
      </c>
      <c r="F165" s="3261">
        <v>0.13</v>
      </c>
      <c r="G165" s="3262">
        <v>0.128</v>
      </c>
    </row>
    <row r="166" spans="1:7">
      <c r="A166" s="3271" t="s">
        <v>29</v>
      </c>
      <c r="B166" s="3260" t="s">
        <v>3020</v>
      </c>
      <c r="C166" s="3261">
        <v>0.129</v>
      </c>
      <c r="D166" s="3261">
        <v>0.129</v>
      </c>
      <c r="E166" s="3261">
        <v>0.123</v>
      </c>
      <c r="F166" s="3261">
        <v>0.128</v>
      </c>
      <c r="G166" s="3262">
        <v>0.13</v>
      </c>
    </row>
    <row r="167" spans="1:7">
      <c r="A167" s="3271" t="s">
        <v>29</v>
      </c>
      <c r="B167" s="3260" t="s">
        <v>3024</v>
      </c>
      <c r="C167" s="3261">
        <v>0.125</v>
      </c>
      <c r="D167" s="3261">
        <v>0.125</v>
      </c>
      <c r="E167" s="3261">
        <v>0.11700000000000001</v>
      </c>
      <c r="F167" s="3261">
        <v>0.13</v>
      </c>
      <c r="G167" s="3262">
        <v>0.126</v>
      </c>
    </row>
    <row r="168" spans="1:7">
      <c r="A168" s="3271" t="s">
        <v>29</v>
      </c>
      <c r="B168" s="3260" t="s">
        <v>3029</v>
      </c>
      <c r="C168" s="3261">
        <v>0.128</v>
      </c>
      <c r="D168" s="3261">
        <v>0.128</v>
      </c>
      <c r="E168" s="3261">
        <v>0.123</v>
      </c>
      <c r="F168" s="3272"/>
      <c r="G168" s="3262">
        <v>0.13</v>
      </c>
    </row>
    <row r="169" spans="1:7">
      <c r="A169" s="3271" t="s">
        <v>29</v>
      </c>
      <c r="B169" s="3260" t="s">
        <v>3182</v>
      </c>
      <c r="C169" s="3277"/>
      <c r="D169" s="3277"/>
      <c r="E169" s="3277"/>
      <c r="F169" s="3261">
        <v>0.05</v>
      </c>
      <c r="G169" s="3273"/>
    </row>
    <row r="170" spans="1:7">
      <c r="A170" s="3271" t="s">
        <v>29</v>
      </c>
      <c r="B170" s="3260" t="s">
        <v>3183</v>
      </c>
      <c r="C170" s="3277"/>
      <c r="D170" s="3277"/>
      <c r="E170" s="3277"/>
      <c r="F170" s="3261">
        <v>0.05</v>
      </c>
      <c r="G170" s="3273"/>
    </row>
    <row r="171" spans="1:7">
      <c r="A171" s="3271" t="s">
        <v>29</v>
      </c>
      <c r="B171" s="3260" t="s">
        <v>3184</v>
      </c>
      <c r="C171" s="3277"/>
      <c r="D171" s="3277"/>
      <c r="E171" s="3277"/>
      <c r="F171" s="3261">
        <v>0.05</v>
      </c>
      <c r="G171" s="3278"/>
    </row>
    <row r="172" spans="1:7">
      <c r="A172" s="3271" t="s">
        <v>29</v>
      </c>
      <c r="B172" s="3260" t="s">
        <v>3185</v>
      </c>
      <c r="C172" s="3277"/>
      <c r="D172" s="3277"/>
      <c r="E172" s="3277"/>
      <c r="F172" s="3261">
        <v>0.05</v>
      </c>
      <c r="G172" s="3278"/>
    </row>
    <row r="173" spans="1:7">
      <c r="A173" s="3271" t="s">
        <v>29</v>
      </c>
      <c r="B173" s="3260" t="s">
        <v>3186</v>
      </c>
      <c r="C173" s="3277"/>
      <c r="D173" s="3277"/>
      <c r="E173" s="3277"/>
      <c r="F173" s="3261">
        <v>0.05</v>
      </c>
      <c r="G173" s="3273"/>
    </row>
    <row r="174" spans="1:7">
      <c r="A174" s="3271" t="s">
        <v>29</v>
      </c>
      <c r="B174" s="3260" t="s">
        <v>3187</v>
      </c>
      <c r="C174" s="3277"/>
      <c r="D174" s="3277"/>
      <c r="E174" s="3277"/>
      <c r="F174" s="3261">
        <v>0.05</v>
      </c>
      <c r="G174" s="3273"/>
    </row>
    <row r="175" spans="1:7">
      <c r="A175" s="3271" t="s">
        <v>29</v>
      </c>
      <c r="B175" s="3260" t="s">
        <v>3188</v>
      </c>
      <c r="C175" s="3277"/>
      <c r="D175" s="3277"/>
      <c r="E175" s="3277"/>
      <c r="F175" s="3261">
        <v>0.05</v>
      </c>
      <c r="G175" s="3273"/>
    </row>
    <row r="176" spans="1:7">
      <c r="A176" s="3271" t="s">
        <v>29</v>
      </c>
      <c r="B176" s="3260" t="s">
        <v>3189</v>
      </c>
      <c r="C176" s="3277"/>
      <c r="D176" s="3277"/>
      <c r="E176" s="3277"/>
      <c r="F176" s="3261">
        <v>0.05</v>
      </c>
      <c r="G176" s="3273"/>
    </row>
    <row r="177" spans="1:7">
      <c r="A177" s="3271" t="s">
        <v>29</v>
      </c>
      <c r="B177" s="3260" t="s">
        <v>3190</v>
      </c>
      <c r="C177" s="3272"/>
      <c r="D177" s="3272"/>
      <c r="E177" s="3272"/>
      <c r="F177" s="3261">
        <v>0.05</v>
      </c>
      <c r="G177" s="3278"/>
    </row>
    <row r="178" spans="1:7">
      <c r="A178" s="3271" t="s">
        <v>29</v>
      </c>
      <c r="B178" s="3260" t="s">
        <v>3191</v>
      </c>
      <c r="C178" s="3272"/>
      <c r="D178" s="3272"/>
      <c r="E178" s="3272"/>
      <c r="F178" s="3261">
        <v>0.05</v>
      </c>
      <c r="G178" s="3278"/>
    </row>
    <row r="179" spans="1:7">
      <c r="A179" s="3271" t="s">
        <v>29</v>
      </c>
      <c r="B179" s="3260" t="s">
        <v>3192</v>
      </c>
      <c r="C179" s="3272"/>
      <c r="D179" s="3272"/>
      <c r="E179" s="3272"/>
      <c r="F179" s="3261">
        <v>0.05</v>
      </c>
      <c r="G179" s="3278"/>
    </row>
    <row r="180" spans="1:7">
      <c r="A180" s="3271" t="s">
        <v>29</v>
      </c>
      <c r="B180" s="3260" t="s">
        <v>3193</v>
      </c>
      <c r="C180" s="3272"/>
      <c r="D180" s="3272"/>
      <c r="E180" s="3272"/>
      <c r="F180" s="3261">
        <v>0.05</v>
      </c>
      <c r="G180" s="3278"/>
    </row>
    <row r="181" spans="1:7">
      <c r="A181" s="3271" t="s">
        <v>29</v>
      </c>
      <c r="B181" s="3260" t="s">
        <v>3194</v>
      </c>
      <c r="C181" s="3272"/>
      <c r="D181" s="3272"/>
      <c r="E181" s="3272"/>
      <c r="F181" s="3261">
        <v>0.05</v>
      </c>
      <c r="G181" s="3278"/>
    </row>
    <row r="182" spans="1:7">
      <c r="A182" s="3271" t="s">
        <v>29</v>
      </c>
      <c r="B182" s="3260" t="s">
        <v>3195</v>
      </c>
      <c r="C182" s="3272"/>
      <c r="D182" s="3272"/>
      <c r="E182" s="3272"/>
      <c r="F182" s="3261">
        <v>0.05</v>
      </c>
      <c r="G182" s="3278"/>
    </row>
    <row r="183" spans="1:7">
      <c r="A183" s="3271" t="s">
        <v>29</v>
      </c>
      <c r="B183" s="3260" t="s">
        <v>3196</v>
      </c>
      <c r="C183" s="3272"/>
      <c r="D183" s="3272"/>
      <c r="E183" s="3272"/>
      <c r="F183" s="3261">
        <v>0.05</v>
      </c>
      <c r="G183" s="3278"/>
    </row>
    <row r="184" spans="1:7">
      <c r="A184" s="3271" t="s">
        <v>29</v>
      </c>
      <c r="B184" s="3260" t="s">
        <v>3197</v>
      </c>
      <c r="C184" s="3272"/>
      <c r="D184" s="3272"/>
      <c r="E184" s="3272"/>
      <c r="F184" s="3261">
        <v>0.05</v>
      </c>
      <c r="G184" s="3278"/>
    </row>
    <row r="185" spans="1:7">
      <c r="A185" s="3271" t="s">
        <v>29</v>
      </c>
      <c r="B185" s="3260" t="s">
        <v>3198</v>
      </c>
      <c r="C185" s="3272"/>
      <c r="D185" s="3272"/>
      <c r="E185" s="3272"/>
      <c r="F185" s="3261">
        <v>0.05</v>
      </c>
      <c r="G185" s="3278"/>
    </row>
    <row r="186" spans="1:7">
      <c r="A186" s="3271" t="s">
        <v>29</v>
      </c>
      <c r="B186" s="3260" t="s">
        <v>3199</v>
      </c>
      <c r="C186" s="3272"/>
      <c r="D186" s="3272"/>
      <c r="E186" s="3272"/>
      <c r="F186" s="3261">
        <v>0.05</v>
      </c>
      <c r="G186" s="3278"/>
    </row>
    <row r="187" spans="1:7">
      <c r="A187" s="3271" t="s">
        <v>29</v>
      </c>
      <c r="B187" s="3260" t="s">
        <v>3200</v>
      </c>
      <c r="C187" s="3272"/>
      <c r="D187" s="3272"/>
      <c r="E187" s="3272"/>
      <c r="F187" s="3261">
        <v>0.05</v>
      </c>
      <c r="G187" s="3278"/>
    </row>
    <row r="188" spans="1:7">
      <c r="A188" s="3271" t="s">
        <v>29</v>
      </c>
      <c r="B188" s="3260" t="s">
        <v>3201</v>
      </c>
      <c r="C188" s="3272"/>
      <c r="D188" s="3272"/>
      <c r="E188" s="3272"/>
      <c r="F188" s="3261">
        <v>0.05</v>
      </c>
      <c r="G188" s="3278"/>
    </row>
    <row r="189" spans="1:7" ht="14.25" thickBot="1">
      <c r="A189" s="3274" t="s">
        <v>29</v>
      </c>
      <c r="B189" s="3264" t="s">
        <v>3202</v>
      </c>
      <c r="C189" s="3266"/>
      <c r="D189" s="3266"/>
      <c r="E189" s="3266"/>
      <c r="F189" s="3265">
        <v>0.05</v>
      </c>
      <c r="G189" s="3279"/>
    </row>
    <row r="190" spans="1:7">
      <c r="A190" s="3270" t="s">
        <v>304</v>
      </c>
      <c r="B190" s="3256" t="s">
        <v>2858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2894</v>
      </c>
      <c r="C199" s="3261">
        <v>0.13</v>
      </c>
      <c r="D199" s="3261">
        <v>0.13</v>
      </c>
      <c r="E199" s="3261">
        <v>0.13</v>
      </c>
      <c r="F199" s="3261">
        <v>0.13</v>
      </c>
      <c r="G199" s="3262">
        <v>0.13</v>
      </c>
    </row>
    <row r="200" spans="1:7">
      <c r="A200" s="3271" t="s">
        <v>304</v>
      </c>
      <c r="B200" s="3260" t="s">
        <v>2897</v>
      </c>
      <c r="C200" s="3277"/>
      <c r="D200" s="3277"/>
      <c r="E200" s="3277"/>
      <c r="F200" s="3261">
        <v>0.13</v>
      </c>
      <c r="G200" s="3273"/>
    </row>
    <row r="201" spans="1:7">
      <c r="A201" s="3271" t="s">
        <v>304</v>
      </c>
      <c r="B201" s="3260" t="s">
        <v>2902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2905</v>
      </c>
      <c r="C203" s="3261">
        <v>0.129</v>
      </c>
      <c r="D203" s="3261">
        <v>0.129</v>
      </c>
      <c r="E203" s="3261">
        <v>0.13</v>
      </c>
      <c r="F203" s="3261">
        <v>0.13</v>
      </c>
      <c r="G203" s="3262">
        <v>0.13</v>
      </c>
    </row>
    <row r="204" spans="1:7">
      <c r="A204" s="3271" t="s">
        <v>304</v>
      </c>
      <c r="B204" s="3260" t="s">
        <v>2908</v>
      </c>
      <c r="C204" s="3261">
        <v>0.129</v>
      </c>
      <c r="D204" s="3261">
        <v>0.129</v>
      </c>
      <c r="E204" s="3261">
        <v>0.123</v>
      </c>
      <c r="F204" s="3261">
        <v>0.13</v>
      </c>
      <c r="G204" s="3262">
        <v>0.13</v>
      </c>
    </row>
    <row r="205" spans="1:7">
      <c r="A205" s="3271" t="s">
        <v>304</v>
      </c>
      <c r="B205" s="3260" t="s">
        <v>2910</v>
      </c>
      <c r="C205" s="3261">
        <v>0.13</v>
      </c>
      <c r="D205" s="3261">
        <v>0.13</v>
      </c>
      <c r="E205" s="3261">
        <v>0.13</v>
      </c>
      <c r="F205" s="3261">
        <v>0.13</v>
      </c>
      <c r="G205" s="3262">
        <v>0.13</v>
      </c>
    </row>
    <row r="206" spans="1:7">
      <c r="A206" s="3271" t="s">
        <v>304</v>
      </c>
      <c r="B206" s="3260" t="s">
        <v>2913</v>
      </c>
      <c r="C206" s="3261">
        <v>0.13</v>
      </c>
      <c r="D206" s="3261">
        <v>0.13</v>
      </c>
      <c r="E206" s="3261">
        <v>0.13</v>
      </c>
      <c r="F206" s="3261">
        <v>0.128</v>
      </c>
      <c r="G206" s="3262">
        <v>0.13</v>
      </c>
    </row>
    <row r="207" spans="1:7">
      <c r="A207" s="3271" t="s">
        <v>304</v>
      </c>
      <c r="B207" s="3260" t="s">
        <v>2915</v>
      </c>
      <c r="C207" s="3261">
        <v>0.13</v>
      </c>
      <c r="D207" s="3261">
        <v>0.13</v>
      </c>
      <c r="E207" s="3261">
        <v>0.13</v>
      </c>
      <c r="F207" s="3261">
        <v>0.13</v>
      </c>
      <c r="G207" s="3262">
        <v>0.13</v>
      </c>
    </row>
    <row r="208" spans="1:7">
      <c r="A208" s="3271" t="s">
        <v>304</v>
      </c>
      <c r="B208" s="3260" t="s">
        <v>2918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2925</v>
      </c>
      <c r="C210" s="3261">
        <v>0.121</v>
      </c>
      <c r="D210" s="3261">
        <v>0.121</v>
      </c>
      <c r="E210" s="3261">
        <v>0.125</v>
      </c>
      <c r="F210" s="3261">
        <v>0.13</v>
      </c>
      <c r="G210" s="3262">
        <v>0.123</v>
      </c>
    </row>
    <row r="211" spans="1:7">
      <c r="A211" s="3271" t="s">
        <v>304</v>
      </c>
      <c r="B211" s="3260" t="s">
        <v>2928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2940</v>
      </c>
      <c r="C214" s="3261">
        <v>0.128</v>
      </c>
      <c r="D214" s="3261">
        <v>0.128</v>
      </c>
      <c r="E214" s="3261">
        <v>0.13</v>
      </c>
      <c r="F214" s="3261">
        <v>0.13</v>
      </c>
      <c r="G214" s="3262">
        <v>0.13</v>
      </c>
    </row>
    <row r="215" spans="1:7">
      <c r="A215" s="3271" t="s">
        <v>304</v>
      </c>
      <c r="B215" s="3260" t="s">
        <v>2944</v>
      </c>
      <c r="C215" s="3261">
        <v>0.13</v>
      </c>
      <c r="D215" s="3261">
        <v>0.13</v>
      </c>
      <c r="E215" s="3261">
        <v>0.13</v>
      </c>
      <c r="F215" s="3261">
        <v>0.129</v>
      </c>
      <c r="G215" s="3262">
        <v>0.13</v>
      </c>
    </row>
    <row r="216" spans="1:7">
      <c r="A216" s="3271" t="s">
        <v>304</v>
      </c>
      <c r="B216" s="3260" t="s">
        <v>2951</v>
      </c>
      <c r="C216" s="3261">
        <v>0.13</v>
      </c>
      <c r="D216" s="3261">
        <v>0.13</v>
      </c>
      <c r="E216" s="3261">
        <v>0.13</v>
      </c>
      <c r="F216" s="3261">
        <v>0.13</v>
      </c>
      <c r="G216" s="3262">
        <v>0.13</v>
      </c>
    </row>
    <row r="217" spans="1:7">
      <c r="A217" s="3271" t="s">
        <v>304</v>
      </c>
      <c r="B217" s="3260" t="s">
        <v>2958</v>
      </c>
      <c r="C217" s="3261">
        <v>0.129</v>
      </c>
      <c r="D217" s="3261">
        <v>0.129</v>
      </c>
      <c r="E217" s="3261">
        <v>0.13</v>
      </c>
      <c r="F217" s="3261">
        <v>0.13</v>
      </c>
      <c r="G217" s="3262">
        <v>0.13</v>
      </c>
    </row>
    <row r="218" spans="1:7">
      <c r="A218" s="3271" t="s">
        <v>304</v>
      </c>
      <c r="B218" s="3260" t="s">
        <v>2964</v>
      </c>
      <c r="C218" s="3272"/>
      <c r="D218" s="3272"/>
      <c r="E218" s="3272"/>
      <c r="F218" s="3261">
        <v>0.05</v>
      </c>
      <c r="G218" s="3278"/>
    </row>
    <row r="219" spans="1:7">
      <c r="A219" s="3271" t="s">
        <v>304</v>
      </c>
      <c r="B219" s="3260" t="s">
        <v>2971</v>
      </c>
      <c r="C219" s="3272"/>
      <c r="D219" s="3272"/>
      <c r="E219" s="3272"/>
      <c r="F219" s="3261">
        <v>0.05</v>
      </c>
      <c r="G219" s="3278"/>
    </row>
    <row r="220" spans="1:7">
      <c r="A220" s="3271" t="s">
        <v>304</v>
      </c>
      <c r="B220" s="3260" t="s">
        <v>2977</v>
      </c>
      <c r="C220" s="3272"/>
      <c r="D220" s="3272"/>
      <c r="E220" s="3272"/>
      <c r="F220" s="3261">
        <v>0.05</v>
      </c>
      <c r="G220" s="3278"/>
    </row>
    <row r="221" spans="1:7">
      <c r="A221" s="3271" t="s">
        <v>304</v>
      </c>
      <c r="B221" s="3260" t="s">
        <v>2982</v>
      </c>
      <c r="C221" s="3272"/>
      <c r="D221" s="3272"/>
      <c r="E221" s="3272"/>
      <c r="F221" s="3261">
        <v>0.05</v>
      </c>
      <c r="G221" s="3278"/>
    </row>
    <row r="222" spans="1:7">
      <c r="A222" s="3271" t="s">
        <v>304</v>
      </c>
      <c r="B222" s="3260" t="s">
        <v>2986</v>
      </c>
      <c r="C222" s="3272"/>
      <c r="D222" s="3272"/>
      <c r="E222" s="3272"/>
      <c r="F222" s="3261">
        <v>0.05</v>
      </c>
      <c r="G222" s="3278"/>
    </row>
    <row r="223" spans="1:7">
      <c r="A223" s="3271" t="s">
        <v>304</v>
      </c>
      <c r="B223" s="3260" t="s">
        <v>2991</v>
      </c>
      <c r="C223" s="3272"/>
      <c r="D223" s="3272"/>
      <c r="E223" s="3272"/>
      <c r="F223" s="3261">
        <v>0.05</v>
      </c>
      <c r="G223" s="3278"/>
    </row>
    <row r="224" spans="1:7">
      <c r="A224" s="3271" t="s">
        <v>304</v>
      </c>
      <c r="B224" s="3260" t="s">
        <v>2996</v>
      </c>
      <c r="C224" s="3272"/>
      <c r="D224" s="3272"/>
      <c r="E224" s="3272"/>
      <c r="F224" s="3261">
        <v>0.05</v>
      </c>
      <c r="G224" s="3278"/>
    </row>
    <row r="225" spans="1:7">
      <c r="A225" s="3271" t="s">
        <v>304</v>
      </c>
      <c r="B225" s="3260" t="s">
        <v>3001</v>
      </c>
      <c r="C225" s="3272"/>
      <c r="D225" s="3272"/>
      <c r="E225" s="3272"/>
      <c r="F225" s="3261">
        <v>0.05</v>
      </c>
      <c r="G225" s="3278"/>
    </row>
    <row r="226" spans="1:7">
      <c r="A226" s="3271" t="s">
        <v>304</v>
      </c>
      <c r="B226" s="3260" t="s">
        <v>3203</v>
      </c>
      <c r="C226" s="3272"/>
      <c r="D226" s="3272"/>
      <c r="E226" s="3272"/>
      <c r="F226" s="3261">
        <v>0.05</v>
      </c>
      <c r="G226" s="3278"/>
    </row>
    <row r="227" spans="1:7">
      <c r="A227" s="3271" t="s">
        <v>304</v>
      </c>
      <c r="B227" s="3260" t="s">
        <v>3204</v>
      </c>
      <c r="C227" s="3272"/>
      <c r="D227" s="3272"/>
      <c r="E227" s="3272"/>
      <c r="F227" s="3261">
        <v>0.05</v>
      </c>
      <c r="G227" s="3278"/>
    </row>
    <row r="228" spans="1:7">
      <c r="A228" s="3271" t="s">
        <v>304</v>
      </c>
      <c r="B228" s="3260" t="s">
        <v>3205</v>
      </c>
      <c r="C228" s="3272"/>
      <c r="D228" s="3272"/>
      <c r="E228" s="3272"/>
      <c r="F228" s="3261">
        <v>0.05</v>
      </c>
      <c r="G228" s="3278"/>
    </row>
    <row r="229" spans="1:7">
      <c r="A229" s="3271" t="s">
        <v>304</v>
      </c>
      <c r="B229" s="3260" t="s">
        <v>3206</v>
      </c>
      <c r="C229" s="3272"/>
      <c r="D229" s="3272"/>
      <c r="E229" s="3272"/>
      <c r="F229" s="3261">
        <v>0.05</v>
      </c>
      <c r="G229" s="3278"/>
    </row>
    <row r="230" spans="1:7">
      <c r="A230" s="3271" t="s">
        <v>304</v>
      </c>
      <c r="B230" s="3260" t="s">
        <v>3207</v>
      </c>
      <c r="C230" s="3272"/>
      <c r="D230" s="3272"/>
      <c r="E230" s="3272"/>
      <c r="F230" s="3261">
        <v>0.05</v>
      </c>
      <c r="G230" s="3278"/>
    </row>
    <row r="231" spans="1:7">
      <c r="A231" s="3271" t="s">
        <v>304</v>
      </c>
      <c r="B231" s="3260" t="s">
        <v>3208</v>
      </c>
      <c r="C231" s="3272"/>
      <c r="D231" s="3272"/>
      <c r="E231" s="3272"/>
      <c r="F231" s="3261">
        <v>0.05</v>
      </c>
      <c r="G231" s="3278"/>
    </row>
    <row r="232" spans="1:7">
      <c r="A232" s="3271" t="s">
        <v>304</v>
      </c>
      <c r="B232" s="3260" t="s">
        <v>3209</v>
      </c>
      <c r="C232" s="3272"/>
      <c r="D232" s="3272"/>
      <c r="E232" s="3272"/>
      <c r="F232" s="3261">
        <v>0.05</v>
      </c>
      <c r="G232" s="3278"/>
    </row>
    <row r="233" spans="1:7" ht="14.25" thickBot="1">
      <c r="A233" s="3274" t="s">
        <v>304</v>
      </c>
      <c r="B233" s="3264" t="s">
        <v>3210</v>
      </c>
      <c r="C233" s="3266"/>
      <c r="D233" s="3266"/>
      <c r="E233" s="3266"/>
      <c r="F233" s="3265">
        <v>0.05</v>
      </c>
      <c r="G233" s="3279"/>
    </row>
    <row r="234" spans="1:7">
      <c r="A234" s="3270" t="s">
        <v>305</v>
      </c>
      <c r="B234" s="3256" t="s">
        <v>2859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2879</v>
      </c>
      <c r="C238" s="3261">
        <v>0.14899999999999999</v>
      </c>
      <c r="D238" s="3261">
        <v>0.14899999999999999</v>
      </c>
      <c r="E238" s="3261">
        <v>0.15</v>
      </c>
      <c r="F238" s="3261">
        <v>0.15</v>
      </c>
      <c r="G238" s="3262">
        <v>0.15</v>
      </c>
    </row>
    <row r="239" spans="1:7">
      <c r="A239" s="3271" t="s">
        <v>305</v>
      </c>
      <c r="B239" s="3260" t="s">
        <v>2883</v>
      </c>
      <c r="C239" s="3261">
        <v>0.15</v>
      </c>
      <c r="D239" s="3261">
        <v>0.15</v>
      </c>
      <c r="E239" s="3261">
        <v>0.15</v>
      </c>
      <c r="F239" s="3261">
        <v>0.15</v>
      </c>
      <c r="G239" s="3262">
        <v>0.15</v>
      </c>
    </row>
    <row r="240" spans="1:7">
      <c r="A240" s="3271" t="s">
        <v>305</v>
      </c>
      <c r="B240" s="3260" t="s">
        <v>2888</v>
      </c>
      <c r="C240" s="3261">
        <v>0.15</v>
      </c>
      <c r="D240" s="3261">
        <v>0.15</v>
      </c>
      <c r="E240" s="3261">
        <v>0.15</v>
      </c>
      <c r="F240" s="3261">
        <v>0.15</v>
      </c>
      <c r="G240" s="3262">
        <v>0.15</v>
      </c>
    </row>
    <row r="241" spans="1:7">
      <c r="A241" s="3271" t="s">
        <v>305</v>
      </c>
      <c r="B241" s="3260" t="s">
        <v>2892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2941</v>
      </c>
      <c r="C258" s="3261">
        <v>0.14299999999999999</v>
      </c>
      <c r="D258" s="3261">
        <v>0.14299999999999999</v>
      </c>
      <c r="E258" s="3261">
        <v>0.15</v>
      </c>
      <c r="F258" s="3261">
        <v>0.14799999999999999</v>
      </c>
      <c r="G258" s="3262">
        <v>0.14599999999999999</v>
      </c>
    </row>
    <row r="259" spans="1:7">
      <c r="A259" s="3271" t="s">
        <v>305</v>
      </c>
      <c r="B259" s="3260" t="s">
        <v>2945</v>
      </c>
      <c r="C259" s="3261">
        <v>0.14399999999999999</v>
      </c>
      <c r="D259" s="3261">
        <v>0.14399999999999999</v>
      </c>
      <c r="E259" s="3261">
        <v>0.14899999999999999</v>
      </c>
      <c r="F259" s="3261">
        <v>0.14699999999999999</v>
      </c>
      <c r="G259" s="3262">
        <v>0.14599999999999999</v>
      </c>
    </row>
    <row r="260" spans="1:7">
      <c r="A260" s="3271" t="s">
        <v>305</v>
      </c>
      <c r="B260" s="3260" t="s">
        <v>2952</v>
      </c>
      <c r="C260" s="3261">
        <v>0.109</v>
      </c>
      <c r="D260" s="3261">
        <v>0.111</v>
      </c>
      <c r="E260" s="3261">
        <v>0.13100000000000001</v>
      </c>
      <c r="F260" s="3261">
        <v>0.126</v>
      </c>
      <c r="G260" s="3262">
        <v>0.11899999999999999</v>
      </c>
    </row>
    <row r="261" spans="1:7">
      <c r="A261" s="3271" t="s">
        <v>305</v>
      </c>
      <c r="B261" s="3260" t="s">
        <v>2959</v>
      </c>
      <c r="C261" s="3261">
        <v>0.1</v>
      </c>
      <c r="D261" s="3261">
        <v>0.1</v>
      </c>
      <c r="E261" s="3261">
        <v>0.11799999999999999</v>
      </c>
      <c r="F261" s="3261">
        <v>0.108</v>
      </c>
      <c r="G261" s="3262">
        <v>0.107</v>
      </c>
    </row>
    <row r="262" spans="1:7">
      <c r="A262" s="3271" t="s">
        <v>305</v>
      </c>
      <c r="B262" s="3260" t="s">
        <v>2965</v>
      </c>
      <c r="C262" s="3261">
        <v>0.1</v>
      </c>
      <c r="D262" s="3261">
        <v>0.1</v>
      </c>
      <c r="E262" s="3261">
        <v>0.1</v>
      </c>
      <c r="F262" s="3261">
        <v>0.14099999999999999</v>
      </c>
      <c r="G262" s="3262">
        <v>0.1</v>
      </c>
    </row>
    <row r="263" spans="1:7">
      <c r="A263" s="3271" t="s">
        <v>305</v>
      </c>
      <c r="B263" s="3260" t="s">
        <v>2972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2983</v>
      </c>
      <c r="C265" s="3272"/>
      <c r="D265" s="3272"/>
      <c r="E265" s="3272"/>
      <c r="F265" s="3261">
        <v>0.05</v>
      </c>
      <c r="G265" s="3278"/>
    </row>
    <row r="266" spans="1:7">
      <c r="A266" s="3271" t="s">
        <v>305</v>
      </c>
      <c r="B266" s="3260" t="s">
        <v>2987</v>
      </c>
      <c r="C266" s="3272"/>
      <c r="D266" s="3272"/>
      <c r="E266" s="3272"/>
      <c r="F266" s="3261">
        <v>0.05</v>
      </c>
      <c r="G266" s="3278"/>
    </row>
    <row r="267" spans="1:7">
      <c r="A267" s="3271" t="s">
        <v>305</v>
      </c>
      <c r="B267" s="3260" t="s">
        <v>2992</v>
      </c>
      <c r="C267" s="3272"/>
      <c r="D267" s="3272"/>
      <c r="E267" s="3272"/>
      <c r="F267" s="3261">
        <v>0.05</v>
      </c>
      <c r="G267" s="3278"/>
    </row>
    <row r="268" spans="1:7">
      <c r="A268" s="3271" t="s">
        <v>305</v>
      </c>
      <c r="B268" s="3260" t="s">
        <v>2997</v>
      </c>
      <c r="C268" s="3272"/>
      <c r="D268" s="3272"/>
      <c r="E268" s="3272"/>
      <c r="F268" s="3261">
        <v>0.05</v>
      </c>
      <c r="G268" s="3278"/>
    </row>
    <row r="269" spans="1:7">
      <c r="A269" s="3271" t="s">
        <v>305</v>
      </c>
      <c r="B269" s="3260" t="s">
        <v>3002</v>
      </c>
      <c r="C269" s="3272"/>
      <c r="D269" s="3272"/>
      <c r="E269" s="3272"/>
      <c r="F269" s="3261">
        <v>0.05</v>
      </c>
      <c r="G269" s="3278"/>
    </row>
    <row r="270" spans="1:7">
      <c r="A270" s="3271" t="s">
        <v>305</v>
      </c>
      <c r="B270" s="3260" t="s">
        <v>3007</v>
      </c>
      <c r="C270" s="3272"/>
      <c r="D270" s="3272"/>
      <c r="E270" s="3272"/>
      <c r="F270" s="3261">
        <v>0.05</v>
      </c>
      <c r="G270" s="3278"/>
    </row>
    <row r="271" spans="1:7">
      <c r="A271" s="3271" t="s">
        <v>305</v>
      </c>
      <c r="B271" s="3260" t="s">
        <v>3211</v>
      </c>
      <c r="C271" s="3272"/>
      <c r="D271" s="3272"/>
      <c r="E271" s="3272"/>
      <c r="F271" s="3261">
        <v>0.05</v>
      </c>
      <c r="G271" s="3278"/>
    </row>
    <row r="272" spans="1:7">
      <c r="A272" s="3271" t="s">
        <v>305</v>
      </c>
      <c r="B272" s="3260" t="s">
        <v>3212</v>
      </c>
      <c r="C272" s="3272"/>
      <c r="D272" s="3272"/>
      <c r="E272" s="3272"/>
      <c r="F272" s="3261">
        <v>0.05</v>
      </c>
      <c r="G272" s="3278"/>
    </row>
    <row r="273" spans="1:7">
      <c r="A273" s="3271" t="s">
        <v>305</v>
      </c>
      <c r="B273" s="3260" t="s">
        <v>3213</v>
      </c>
      <c r="C273" s="3272"/>
      <c r="D273" s="3272"/>
      <c r="E273" s="3272"/>
      <c r="F273" s="3261">
        <v>0.05</v>
      </c>
      <c r="G273" s="3278"/>
    </row>
    <row r="274" spans="1:7">
      <c r="A274" s="3271" t="s">
        <v>305</v>
      </c>
      <c r="B274" s="3260" t="s">
        <v>3214</v>
      </c>
      <c r="C274" s="3272"/>
      <c r="D274" s="3272"/>
      <c r="E274" s="3272"/>
      <c r="F274" s="3261">
        <v>0.05</v>
      </c>
      <c r="G274" s="3278"/>
    </row>
    <row r="275" spans="1:7">
      <c r="A275" s="3271" t="s">
        <v>305</v>
      </c>
      <c r="B275" s="3260" t="s">
        <v>3215</v>
      </c>
      <c r="C275" s="3272"/>
      <c r="D275" s="3272"/>
      <c r="E275" s="3272"/>
      <c r="F275" s="3261">
        <v>0.05</v>
      </c>
      <c r="G275" s="3278"/>
    </row>
    <row r="276" spans="1:7" ht="14.25" thickBot="1">
      <c r="A276" s="3274" t="s">
        <v>305</v>
      </c>
      <c r="B276" s="3264" t="s">
        <v>3216</v>
      </c>
      <c r="C276" s="3266"/>
      <c r="D276" s="3266"/>
      <c r="E276" s="3266"/>
      <c r="F276" s="3265">
        <v>0.05</v>
      </c>
      <c r="G276" s="3279"/>
    </row>
    <row r="277" spans="1:7">
      <c r="A277" s="3270" t="s">
        <v>306</v>
      </c>
      <c r="B277" s="3256" t="s">
        <v>2860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2872</v>
      </c>
      <c r="C279" s="3261">
        <v>0.15</v>
      </c>
      <c r="D279" s="3261">
        <v>0.15</v>
      </c>
      <c r="E279" s="3261">
        <v>0.15</v>
      </c>
      <c r="F279" s="3261">
        <v>0.15</v>
      </c>
      <c r="G279" s="3262">
        <v>0.15</v>
      </c>
    </row>
    <row r="280" spans="1:7">
      <c r="A280" s="3271" t="s">
        <v>306</v>
      </c>
      <c r="B280" s="3260" t="s">
        <v>2876</v>
      </c>
      <c r="C280" s="3261">
        <v>0.15</v>
      </c>
      <c r="D280" s="3261">
        <v>0.15</v>
      </c>
      <c r="E280" s="3261">
        <v>0.15</v>
      </c>
      <c r="F280" s="3261">
        <v>0.15</v>
      </c>
      <c r="G280" s="3262">
        <v>0.15</v>
      </c>
    </row>
    <row r="281" spans="1:7">
      <c r="A281" s="3271" t="s">
        <v>306</v>
      </c>
      <c r="B281" s="3260" t="s">
        <v>2880</v>
      </c>
      <c r="C281" s="3261">
        <v>0.15</v>
      </c>
      <c r="D281" s="3261">
        <v>0.15</v>
      </c>
      <c r="E281" s="3261">
        <v>0.15</v>
      </c>
      <c r="F281" s="3261">
        <v>0.15</v>
      </c>
      <c r="G281" s="3262">
        <v>0.15</v>
      </c>
    </row>
    <row r="282" spans="1:7">
      <c r="A282" s="3271" t="s">
        <v>306</v>
      </c>
      <c r="B282" s="3260" t="s">
        <v>2884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2914</v>
      </c>
      <c r="C293" s="3261">
        <v>0.15</v>
      </c>
      <c r="D293" s="3261">
        <v>0.15</v>
      </c>
      <c r="E293" s="3261">
        <v>0.15</v>
      </c>
      <c r="F293" s="3261">
        <v>0.14499999999999999</v>
      </c>
      <c r="G293" s="3262">
        <v>0.15</v>
      </c>
    </row>
    <row r="294" spans="1:7">
      <c r="A294" s="3271" t="s">
        <v>306</v>
      </c>
      <c r="B294" s="3260" t="s">
        <v>2916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2946</v>
      </c>
      <c r="C302" s="3261">
        <v>0.15</v>
      </c>
      <c r="D302" s="3261">
        <v>0.15</v>
      </c>
      <c r="E302" s="3261">
        <v>0.15</v>
      </c>
      <c r="F302" s="3261">
        <v>0.14699999999999999</v>
      </c>
      <c r="G302" s="3262">
        <v>0.15</v>
      </c>
    </row>
    <row r="303" spans="1:7">
      <c r="A303" s="3271" t="s">
        <v>306</v>
      </c>
      <c r="B303" s="3260" t="s">
        <v>2953</v>
      </c>
      <c r="C303" s="3261">
        <v>0.15</v>
      </c>
      <c r="D303" s="3261">
        <v>0.15</v>
      </c>
      <c r="E303" s="3261">
        <v>0.15</v>
      </c>
      <c r="F303" s="3261">
        <v>0.14199999999999999</v>
      </c>
      <c r="G303" s="3262">
        <v>0.15</v>
      </c>
    </row>
    <row r="304" spans="1:7">
      <c r="A304" s="3271" t="s">
        <v>306</v>
      </c>
      <c r="B304" s="3260" t="s">
        <v>2960</v>
      </c>
      <c r="C304" s="3261">
        <v>0.15</v>
      </c>
      <c r="D304" s="3261">
        <v>0.15</v>
      </c>
      <c r="E304" s="3261">
        <v>0.15</v>
      </c>
      <c r="F304" s="3261">
        <v>0.14499999999999999</v>
      </c>
      <c r="G304" s="3262">
        <v>0.15</v>
      </c>
    </row>
    <row r="305" spans="1:7">
      <c r="A305" s="3271" t="s">
        <v>306</v>
      </c>
      <c r="B305" s="3260" t="s">
        <v>2966</v>
      </c>
      <c r="C305" s="3261">
        <v>0.15</v>
      </c>
      <c r="D305" s="3261">
        <v>0.15</v>
      </c>
      <c r="E305" s="3261">
        <v>0.15</v>
      </c>
      <c r="F305" s="3261">
        <v>0.111</v>
      </c>
      <c r="G305" s="3262">
        <v>0.15</v>
      </c>
    </row>
    <row r="306" spans="1:7">
      <c r="A306" s="3271" t="s">
        <v>306</v>
      </c>
      <c r="B306" s="3260" t="s">
        <v>2973</v>
      </c>
      <c r="C306" s="3261">
        <v>0.15</v>
      </c>
      <c r="D306" s="3261">
        <v>0.15</v>
      </c>
      <c r="E306" s="3261">
        <v>0.15</v>
      </c>
      <c r="F306" s="3261">
        <v>0.126</v>
      </c>
      <c r="G306" s="3262">
        <v>0.15</v>
      </c>
    </row>
    <row r="307" spans="1:7">
      <c r="A307" s="3271" t="s">
        <v>306</v>
      </c>
      <c r="B307" s="3260" t="s">
        <v>2978</v>
      </c>
      <c r="C307" s="3261">
        <v>0.15</v>
      </c>
      <c r="D307" s="3261">
        <v>0.15</v>
      </c>
      <c r="E307" s="3261">
        <v>0.15</v>
      </c>
      <c r="F307" s="3261">
        <v>0.12</v>
      </c>
      <c r="G307" s="3262">
        <v>0.15</v>
      </c>
    </row>
    <row r="308" spans="1:7">
      <c r="A308" s="3271" t="s">
        <v>306</v>
      </c>
      <c r="B308" s="3260" t="s">
        <v>2984</v>
      </c>
      <c r="C308" s="3261">
        <v>0.15</v>
      </c>
      <c r="D308" s="3261">
        <v>0.15</v>
      </c>
      <c r="E308" s="3261">
        <v>0.15</v>
      </c>
      <c r="F308" s="3261">
        <v>0.13</v>
      </c>
      <c r="G308" s="3262">
        <v>0.15</v>
      </c>
    </row>
    <row r="309" spans="1:7">
      <c r="A309" s="3271" t="s">
        <v>306</v>
      </c>
      <c r="B309" s="3260" t="s">
        <v>2988</v>
      </c>
      <c r="C309" s="3261">
        <v>0.15</v>
      </c>
      <c r="D309" s="3261">
        <v>0.15</v>
      </c>
      <c r="E309" s="3261">
        <v>0.15</v>
      </c>
      <c r="F309" s="3261">
        <v>0.14099999999999999</v>
      </c>
      <c r="G309" s="3262">
        <v>0.15</v>
      </c>
    </row>
    <row r="310" spans="1:7">
      <c r="A310" s="3271" t="s">
        <v>306</v>
      </c>
      <c r="B310" s="3260" t="s">
        <v>2993</v>
      </c>
      <c r="C310" s="3261">
        <v>0.15</v>
      </c>
      <c r="D310" s="3261">
        <v>0.15</v>
      </c>
      <c r="E310" s="3261">
        <v>0.15</v>
      </c>
      <c r="F310" s="3261">
        <v>0.15</v>
      </c>
      <c r="G310" s="3262">
        <v>0.15</v>
      </c>
    </row>
    <row r="311" spans="1:7">
      <c r="A311" s="3271" t="s">
        <v>306</v>
      </c>
      <c r="B311" s="3260" t="s">
        <v>2998</v>
      </c>
      <c r="C311" s="3261">
        <v>0.13200000000000001</v>
      </c>
      <c r="D311" s="3261">
        <v>0.13300000000000001</v>
      </c>
      <c r="E311" s="3261">
        <v>0.14499999999999999</v>
      </c>
      <c r="F311" s="3261">
        <v>0.14199999999999999</v>
      </c>
      <c r="G311" s="3262">
        <v>0.14000000000000001</v>
      </c>
    </row>
    <row r="312" spans="1:7">
      <c r="A312" s="3271" t="s">
        <v>306</v>
      </c>
      <c r="B312" s="3260" t="s">
        <v>3003</v>
      </c>
      <c r="C312" s="3261">
        <v>0.13800000000000001</v>
      </c>
      <c r="D312" s="3261">
        <v>0.14000000000000001</v>
      </c>
      <c r="E312" s="3261">
        <v>0.14599999999999999</v>
      </c>
      <c r="F312" s="3261">
        <v>0.14899999999999999</v>
      </c>
      <c r="G312" s="3262">
        <v>0.14199999999999999</v>
      </c>
    </row>
    <row r="313" spans="1:7">
      <c r="A313" s="3271" t="s">
        <v>306</v>
      </c>
      <c r="B313" s="3260" t="s">
        <v>3008</v>
      </c>
      <c r="C313" s="3261">
        <v>0.125</v>
      </c>
      <c r="D313" s="3261">
        <v>0.127</v>
      </c>
      <c r="E313" s="3261">
        <v>0.14399999999999999</v>
      </c>
      <c r="F313" s="3261">
        <v>0.115</v>
      </c>
      <c r="G313" s="3262">
        <v>0.13600000000000001</v>
      </c>
    </row>
    <row r="314" spans="1:7">
      <c r="A314" s="3271" t="s">
        <v>306</v>
      </c>
      <c r="B314" s="3260" t="s">
        <v>3217</v>
      </c>
      <c r="C314" s="3277"/>
      <c r="D314" s="3277"/>
      <c r="E314" s="3277"/>
      <c r="F314" s="3261">
        <v>0.05</v>
      </c>
      <c r="G314" s="3278"/>
    </row>
    <row r="315" spans="1:7">
      <c r="A315" s="3271" t="s">
        <v>306</v>
      </c>
      <c r="B315" s="3260" t="s">
        <v>3218</v>
      </c>
      <c r="C315" s="3277"/>
      <c r="D315" s="3277"/>
      <c r="E315" s="3277"/>
      <c r="F315" s="3261">
        <v>0.05</v>
      </c>
      <c r="G315" s="3278"/>
    </row>
    <row r="316" spans="1:7">
      <c r="A316" s="3271" t="s">
        <v>306</v>
      </c>
      <c r="B316" s="3260" t="s">
        <v>3219</v>
      </c>
      <c r="C316" s="3272"/>
      <c r="D316" s="3272"/>
      <c r="E316" s="3272"/>
      <c r="F316" s="3261">
        <v>0.05</v>
      </c>
      <c r="G316" s="3278"/>
    </row>
    <row r="317" spans="1:7">
      <c r="A317" s="3271" t="s">
        <v>306</v>
      </c>
      <c r="B317" s="3260" t="s">
        <v>3220</v>
      </c>
      <c r="C317" s="3272"/>
      <c r="D317" s="3272"/>
      <c r="E317" s="3272"/>
      <c r="F317" s="3261">
        <v>0.05</v>
      </c>
      <c r="G317" s="3278"/>
    </row>
    <row r="318" spans="1:7">
      <c r="A318" s="3271" t="s">
        <v>306</v>
      </c>
      <c r="B318" s="3260" t="s">
        <v>3221</v>
      </c>
      <c r="C318" s="3272"/>
      <c r="D318" s="3272"/>
      <c r="E318" s="3272"/>
      <c r="F318" s="3261">
        <v>0.05</v>
      </c>
      <c r="G318" s="3278"/>
    </row>
    <row r="319" spans="1:7">
      <c r="A319" s="3271" t="s">
        <v>306</v>
      </c>
      <c r="B319" s="3260" t="s">
        <v>3222</v>
      </c>
      <c r="C319" s="3272"/>
      <c r="D319" s="3272"/>
      <c r="E319" s="3272"/>
      <c r="F319" s="3261">
        <v>0.05</v>
      </c>
      <c r="G319" s="3278"/>
    </row>
    <row r="320" spans="1:7">
      <c r="A320" s="3271" t="s">
        <v>306</v>
      </c>
      <c r="B320" s="3260" t="s">
        <v>3223</v>
      </c>
      <c r="C320" s="3272"/>
      <c r="D320" s="3272"/>
      <c r="E320" s="3272"/>
      <c r="F320" s="3261">
        <v>0.05</v>
      </c>
      <c r="G320" s="3278"/>
    </row>
    <row r="321" spans="1:7">
      <c r="A321" s="3271" t="s">
        <v>306</v>
      </c>
      <c r="B321" s="3260" t="s">
        <v>3224</v>
      </c>
      <c r="C321" s="3272"/>
      <c r="D321" s="3272"/>
      <c r="E321" s="3272"/>
      <c r="F321" s="3261">
        <v>0.05</v>
      </c>
      <c r="G321" s="3278"/>
    </row>
    <row r="322" spans="1:7">
      <c r="A322" s="3271" t="s">
        <v>306</v>
      </c>
      <c r="B322" s="3260" t="s">
        <v>3225</v>
      </c>
      <c r="C322" s="3272"/>
      <c r="D322" s="3272"/>
      <c r="E322" s="3272"/>
      <c r="F322" s="3261">
        <v>0.05</v>
      </c>
      <c r="G322" s="3278"/>
    </row>
    <row r="323" spans="1:7">
      <c r="A323" s="3271" t="s">
        <v>306</v>
      </c>
      <c r="B323" s="3260" t="s">
        <v>3226</v>
      </c>
      <c r="C323" s="3272"/>
      <c r="D323" s="3272"/>
      <c r="E323" s="3272"/>
      <c r="F323" s="3261">
        <v>0.05</v>
      </c>
      <c r="G323" s="3278"/>
    </row>
    <row r="324" spans="1:7">
      <c r="A324" s="3271" t="s">
        <v>306</v>
      </c>
      <c r="B324" s="3260" t="s">
        <v>3227</v>
      </c>
      <c r="C324" s="3272"/>
      <c r="D324" s="3272"/>
      <c r="E324" s="3272"/>
      <c r="F324" s="3261">
        <v>0.05</v>
      </c>
      <c r="G324" s="3278"/>
    </row>
    <row r="325" spans="1:7">
      <c r="A325" s="3271" t="s">
        <v>306</v>
      </c>
      <c r="B325" s="3260" t="s">
        <v>3228</v>
      </c>
      <c r="C325" s="3272"/>
      <c r="D325" s="3272"/>
      <c r="E325" s="3272"/>
      <c r="F325" s="3261">
        <v>0.05</v>
      </c>
      <c r="G325" s="3278"/>
    </row>
    <row r="326" spans="1:7" ht="14.25" thickBot="1">
      <c r="A326" s="3274" t="s">
        <v>306</v>
      </c>
      <c r="B326" s="3264" t="s">
        <v>3229</v>
      </c>
      <c r="C326" s="3266"/>
      <c r="D326" s="3266"/>
      <c r="E326" s="3266"/>
      <c r="F326" s="3265">
        <v>0.05</v>
      </c>
      <c r="G326" s="3279"/>
    </row>
    <row r="327" spans="1:7">
      <c r="A327" s="3270" t="s">
        <v>307</v>
      </c>
      <c r="B327" s="3256" t="s">
        <v>2861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2873</v>
      </c>
      <c r="C329" s="3261">
        <v>0.15</v>
      </c>
      <c r="D329" s="3261">
        <v>0.15</v>
      </c>
      <c r="E329" s="3261">
        <v>0.15</v>
      </c>
      <c r="F329" s="3261">
        <v>0.15</v>
      </c>
      <c r="G329" s="3262">
        <v>0.15</v>
      </c>
    </row>
    <row r="330" spans="1:7">
      <c r="A330" s="3271" t="s">
        <v>307</v>
      </c>
      <c r="B330" s="3260" t="s">
        <v>2877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2885</v>
      </c>
      <c r="C332" s="3261">
        <v>0.15</v>
      </c>
      <c r="D332" s="3261">
        <v>0.15</v>
      </c>
      <c r="E332" s="3261">
        <v>0.15</v>
      </c>
      <c r="F332" s="3261">
        <v>0.15</v>
      </c>
      <c r="G332" s="3262">
        <v>0.15</v>
      </c>
    </row>
    <row r="333" spans="1:7">
      <c r="A333" s="3271" t="s">
        <v>307</v>
      </c>
      <c r="B333" s="3260" t="s">
        <v>2889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2895</v>
      </c>
      <c r="C336" s="3261">
        <v>0.15</v>
      </c>
      <c r="D336" s="3261">
        <v>0.15</v>
      </c>
      <c r="E336" s="3261">
        <v>0.15</v>
      </c>
      <c r="F336" s="3261">
        <v>0.14199999999999999</v>
      </c>
      <c r="G336" s="3262">
        <v>0.15</v>
      </c>
    </row>
    <row r="337" spans="1:7">
      <c r="A337" s="3271" t="s">
        <v>307</v>
      </c>
      <c r="B337" s="3260" t="s">
        <v>2900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2920</v>
      </c>
      <c r="C345" s="3261">
        <v>0.15</v>
      </c>
      <c r="D345" s="3261">
        <v>0.15</v>
      </c>
      <c r="E345" s="3261">
        <v>0.15</v>
      </c>
      <c r="F345" s="3261">
        <v>0.13800000000000001</v>
      </c>
      <c r="G345" s="3262">
        <v>0.15</v>
      </c>
    </row>
    <row r="346" spans="1:7">
      <c r="A346" s="3271" t="s">
        <v>307</v>
      </c>
      <c r="B346" s="3260" t="s">
        <v>2922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2929</v>
      </c>
      <c r="C348" s="3261">
        <v>0.15</v>
      </c>
      <c r="D348" s="3261">
        <v>0.15</v>
      </c>
      <c r="E348" s="3261">
        <v>0.15</v>
      </c>
      <c r="F348" s="3261">
        <v>0.14399999999999999</v>
      </c>
      <c r="G348" s="3262">
        <v>0.15</v>
      </c>
    </row>
    <row r="349" spans="1:7">
      <c r="A349" s="3271" t="s">
        <v>307</v>
      </c>
      <c r="B349" s="3260" t="s">
        <v>2934</v>
      </c>
      <c r="C349" s="3261">
        <v>0.15</v>
      </c>
      <c r="D349" s="3261">
        <v>0.15</v>
      </c>
      <c r="E349" s="3261">
        <v>0.15</v>
      </c>
      <c r="F349" s="3261">
        <v>0.15</v>
      </c>
      <c r="G349" s="3262">
        <v>0.15</v>
      </c>
    </row>
    <row r="350" spans="1:7">
      <c r="A350" s="3271" t="s">
        <v>307</v>
      </c>
      <c r="B350" s="3260" t="s">
        <v>2937</v>
      </c>
      <c r="C350" s="3261">
        <v>0.15</v>
      </c>
      <c r="D350" s="3261">
        <v>0.15</v>
      </c>
      <c r="E350" s="3261">
        <v>0.15</v>
      </c>
      <c r="F350" s="3261">
        <v>0.14699999999999999</v>
      </c>
      <c r="G350" s="3262">
        <v>0.15</v>
      </c>
    </row>
    <row r="351" spans="1:7">
      <c r="A351" s="3271" t="s">
        <v>307</v>
      </c>
      <c r="B351" s="3260" t="s">
        <v>2942</v>
      </c>
      <c r="C351" s="3261">
        <v>0.15</v>
      </c>
      <c r="D351" s="3261">
        <v>0.15</v>
      </c>
      <c r="E351" s="3261">
        <v>0.15</v>
      </c>
      <c r="F351" s="3261">
        <v>0.13</v>
      </c>
      <c r="G351" s="3262">
        <v>0.15</v>
      </c>
    </row>
    <row r="352" spans="1:7">
      <c r="A352" s="3271" t="s">
        <v>307</v>
      </c>
      <c r="B352" s="3260" t="s">
        <v>2947</v>
      </c>
      <c r="C352" s="3261">
        <v>0.15</v>
      </c>
      <c r="D352" s="3261">
        <v>0.15</v>
      </c>
      <c r="E352" s="3261">
        <v>0.15</v>
      </c>
      <c r="F352" s="3261">
        <v>0.14599999999999999</v>
      </c>
      <c r="G352" s="3262">
        <v>0.15</v>
      </c>
    </row>
    <row r="353" spans="1:7">
      <c r="A353" s="3271" t="s">
        <v>307</v>
      </c>
      <c r="B353" s="3260" t="s">
        <v>2954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2967</v>
      </c>
      <c r="C355" s="3261">
        <v>0.15</v>
      </c>
      <c r="D355" s="3261">
        <v>0.15</v>
      </c>
      <c r="E355" s="3261">
        <v>0.15</v>
      </c>
      <c r="F355" s="3261">
        <v>0.15</v>
      </c>
      <c r="G355" s="3262">
        <v>0.15</v>
      </c>
    </row>
    <row r="356" spans="1:7">
      <c r="A356" s="3271" t="s">
        <v>307</v>
      </c>
      <c r="B356" s="3260" t="s">
        <v>2974</v>
      </c>
      <c r="C356" s="3261">
        <v>0.15</v>
      </c>
      <c r="D356" s="3261">
        <v>0.15</v>
      </c>
      <c r="E356" s="3261">
        <v>0.15</v>
      </c>
      <c r="F356" s="3261">
        <v>0.15</v>
      </c>
      <c r="G356" s="3262">
        <v>0.15</v>
      </c>
    </row>
    <row r="357" spans="1:7" ht="14.25" thickBot="1">
      <c r="A357" s="3274" t="s">
        <v>307</v>
      </c>
      <c r="B357" s="3264" t="s">
        <v>2979</v>
      </c>
      <c r="C357" s="3265">
        <v>0.126</v>
      </c>
      <c r="D357" s="3265">
        <v>0.127</v>
      </c>
      <c r="E357" s="3265">
        <v>0.14299999999999999</v>
      </c>
      <c r="F357" s="3265">
        <v>0.125</v>
      </c>
      <c r="G357" s="3267">
        <v>0.129</v>
      </c>
    </row>
    <row r="358" spans="1:7">
      <c r="A358" s="3270" t="s">
        <v>2848</v>
      </c>
      <c r="B358" s="3256" t="s">
        <v>2862</v>
      </c>
      <c r="C358" s="3257">
        <v>0.15</v>
      </c>
      <c r="D358" s="3257">
        <v>0.15</v>
      </c>
      <c r="E358" s="3257">
        <v>0.15</v>
      </c>
      <c r="F358" s="3257">
        <v>0.15</v>
      </c>
      <c r="G358" s="3258">
        <v>0.15</v>
      </c>
    </row>
    <row r="359" spans="1:7">
      <c r="A359" s="3271" t="s">
        <v>2848</v>
      </c>
      <c r="B359" s="3260" t="s">
        <v>2868</v>
      </c>
      <c r="C359" s="3261">
        <v>0.1</v>
      </c>
      <c r="D359" s="3261">
        <v>0.1</v>
      </c>
      <c r="E359" s="3261">
        <v>0.1</v>
      </c>
      <c r="F359" s="3261">
        <v>0.1</v>
      </c>
      <c r="G359" s="3262">
        <v>0.1</v>
      </c>
    </row>
    <row r="360" spans="1:7">
      <c r="A360" s="3271" t="s">
        <v>2848</v>
      </c>
      <c r="B360" s="3260" t="s">
        <v>2874</v>
      </c>
      <c r="C360" s="3261">
        <v>0.15</v>
      </c>
      <c r="D360" s="3261">
        <v>0.15</v>
      </c>
      <c r="E360" s="3261">
        <v>0.15</v>
      </c>
      <c r="F360" s="3261">
        <v>0.14899999999999999</v>
      </c>
      <c r="G360" s="3262">
        <v>0.15</v>
      </c>
    </row>
    <row r="361" spans="1:7">
      <c r="A361" s="3271" t="s">
        <v>2848</v>
      </c>
      <c r="B361" s="3260" t="s">
        <v>153</v>
      </c>
      <c r="C361" s="3261">
        <v>0.15</v>
      </c>
      <c r="D361" s="3261">
        <v>0.15</v>
      </c>
      <c r="E361" s="3261">
        <v>0.15</v>
      </c>
      <c r="F361" s="3261">
        <v>0.115</v>
      </c>
      <c r="G361" s="3262">
        <v>0.15</v>
      </c>
    </row>
    <row r="362" spans="1:7">
      <c r="A362" s="3271" t="s">
        <v>2848</v>
      </c>
      <c r="B362" s="3260" t="s">
        <v>2881</v>
      </c>
      <c r="C362" s="3261">
        <v>0.15</v>
      </c>
      <c r="D362" s="3261">
        <v>0.15</v>
      </c>
      <c r="E362" s="3261">
        <v>0.15</v>
      </c>
      <c r="F362" s="3261">
        <v>0.106</v>
      </c>
      <c r="G362" s="3262">
        <v>0.15</v>
      </c>
    </row>
    <row r="363" spans="1:7">
      <c r="A363" s="3271" t="s">
        <v>2848</v>
      </c>
      <c r="B363" s="3260" t="s">
        <v>2886</v>
      </c>
      <c r="C363" s="3261">
        <v>0.15</v>
      </c>
      <c r="D363" s="3261">
        <v>0.15</v>
      </c>
      <c r="E363" s="3261">
        <v>0.15</v>
      </c>
      <c r="F363" s="3261">
        <v>0.14699999999999999</v>
      </c>
      <c r="G363" s="3262">
        <v>0.15</v>
      </c>
    </row>
    <row r="364" spans="1:7">
      <c r="A364" s="3271" t="s">
        <v>2848</v>
      </c>
      <c r="B364" s="3260" t="s">
        <v>2890</v>
      </c>
      <c r="C364" s="3261">
        <v>0.15</v>
      </c>
      <c r="D364" s="3261">
        <v>0.15</v>
      </c>
      <c r="E364" s="3261">
        <v>0.15</v>
      </c>
      <c r="F364" s="3261">
        <v>0.14799999999999999</v>
      </c>
      <c r="G364" s="3262">
        <v>0.15</v>
      </c>
    </row>
    <row r="365" spans="1:7">
      <c r="A365" s="3271" t="s">
        <v>2848</v>
      </c>
      <c r="B365" s="3260" t="s">
        <v>200</v>
      </c>
      <c r="C365" s="3261">
        <v>0.15</v>
      </c>
      <c r="D365" s="3261">
        <v>0.15</v>
      </c>
      <c r="E365" s="3261">
        <v>0.15</v>
      </c>
      <c r="F365" s="3261">
        <v>0.15</v>
      </c>
      <c r="G365" s="3262">
        <v>0.15</v>
      </c>
    </row>
    <row r="366" spans="1:7">
      <c r="A366" s="3271" t="s">
        <v>2848</v>
      </c>
      <c r="B366" s="3260" t="s">
        <v>2893</v>
      </c>
      <c r="C366" s="3261">
        <v>0.15</v>
      </c>
      <c r="D366" s="3261">
        <v>0.15</v>
      </c>
      <c r="E366" s="3261">
        <v>0.15</v>
      </c>
      <c r="F366" s="3261">
        <v>0.15</v>
      </c>
      <c r="G366" s="3262">
        <v>0.15</v>
      </c>
    </row>
    <row r="367" spans="1:7">
      <c r="A367" s="3271" t="s">
        <v>2848</v>
      </c>
      <c r="B367" s="3260" t="s">
        <v>2896</v>
      </c>
      <c r="C367" s="3261">
        <v>0.15</v>
      </c>
      <c r="D367" s="3261">
        <v>0.15</v>
      </c>
      <c r="E367" s="3261">
        <v>0.15</v>
      </c>
      <c r="F367" s="3261">
        <v>0.14699999999999999</v>
      </c>
      <c r="G367" s="3262">
        <v>0.15</v>
      </c>
    </row>
    <row r="368" spans="1:7">
      <c r="A368" s="3271" t="s">
        <v>2848</v>
      </c>
      <c r="B368" s="3260" t="s">
        <v>2901</v>
      </c>
      <c r="C368" s="3261">
        <v>0.15</v>
      </c>
      <c r="D368" s="3261">
        <v>0.15</v>
      </c>
      <c r="E368" s="3261">
        <v>0.15</v>
      </c>
      <c r="F368" s="3261">
        <v>0.13600000000000001</v>
      </c>
      <c r="G368" s="3262">
        <v>0.15</v>
      </c>
    </row>
    <row r="369" spans="1:7">
      <c r="A369" s="3271" t="s">
        <v>2848</v>
      </c>
      <c r="B369" s="3260" t="s">
        <v>214</v>
      </c>
      <c r="C369" s="3261">
        <v>0.15</v>
      </c>
      <c r="D369" s="3261">
        <v>0.15</v>
      </c>
      <c r="E369" s="3261">
        <v>0.15</v>
      </c>
      <c r="F369" s="3261">
        <v>0.14399999999999999</v>
      </c>
      <c r="G369" s="3262">
        <v>0.15</v>
      </c>
    </row>
    <row r="370" spans="1:7">
      <c r="A370" s="3271" t="s">
        <v>2848</v>
      </c>
      <c r="B370" s="3260" t="s">
        <v>221</v>
      </c>
      <c r="C370" s="3261">
        <v>0.15</v>
      </c>
      <c r="D370" s="3261">
        <v>0.15</v>
      </c>
      <c r="E370" s="3261">
        <v>0.15</v>
      </c>
      <c r="F370" s="3261">
        <v>0.14599999999999999</v>
      </c>
      <c r="G370" s="3262">
        <v>0.15</v>
      </c>
    </row>
    <row r="371" spans="1:7">
      <c r="A371" s="3271" t="s">
        <v>2848</v>
      </c>
      <c r="B371" s="3260" t="s">
        <v>229</v>
      </c>
      <c r="C371" s="3261">
        <v>0.15</v>
      </c>
      <c r="D371" s="3261">
        <v>0.15</v>
      </c>
      <c r="E371" s="3261">
        <v>0.15</v>
      </c>
      <c r="F371" s="3261">
        <v>0.12</v>
      </c>
      <c r="G371" s="3262">
        <v>0.15</v>
      </c>
    </row>
    <row r="372" spans="1:7">
      <c r="A372" s="3271" t="s">
        <v>2848</v>
      </c>
      <c r="B372" s="3260" t="s">
        <v>2909</v>
      </c>
      <c r="C372" s="3261">
        <v>0.15</v>
      </c>
      <c r="D372" s="3261">
        <v>0.15</v>
      </c>
      <c r="E372" s="3261">
        <v>0.15</v>
      </c>
      <c r="F372" s="3261">
        <v>0.14299999999999999</v>
      </c>
      <c r="G372" s="3262">
        <v>0.15</v>
      </c>
    </row>
    <row r="373" spans="1:7">
      <c r="A373" s="3271" t="s">
        <v>2848</v>
      </c>
      <c r="B373" s="3260" t="s">
        <v>258</v>
      </c>
      <c r="C373" s="3261">
        <v>0.15</v>
      </c>
      <c r="D373" s="3261">
        <v>0.15</v>
      </c>
      <c r="E373" s="3261">
        <v>0.15</v>
      </c>
      <c r="F373" s="3261">
        <v>0.14599999999999999</v>
      </c>
      <c r="G373" s="3262">
        <v>0.15</v>
      </c>
    </row>
    <row r="374" spans="1:7">
      <c r="A374" s="3271" t="s">
        <v>2848</v>
      </c>
      <c r="B374" s="3260" t="s">
        <v>266</v>
      </c>
      <c r="C374" s="3261">
        <v>0.15</v>
      </c>
      <c r="D374" s="3261">
        <v>0.15</v>
      </c>
      <c r="E374" s="3261">
        <v>0.15</v>
      </c>
      <c r="F374" s="3261">
        <v>0.14399999999999999</v>
      </c>
      <c r="G374" s="3262">
        <v>0.15</v>
      </c>
    </row>
    <row r="375" spans="1:7">
      <c r="A375" s="3271" t="s">
        <v>2848</v>
      </c>
      <c r="B375" s="3260" t="s">
        <v>2917</v>
      </c>
      <c r="C375" s="3261">
        <v>0.15</v>
      </c>
      <c r="D375" s="3261">
        <v>0.15</v>
      </c>
      <c r="E375" s="3261">
        <v>0.15</v>
      </c>
      <c r="F375" s="3261">
        <v>0.13</v>
      </c>
      <c r="G375" s="3262">
        <v>0.15</v>
      </c>
    </row>
    <row r="376" spans="1:7">
      <c r="A376" s="3271" t="s">
        <v>2848</v>
      </c>
      <c r="B376" s="3260" t="s">
        <v>277</v>
      </c>
      <c r="C376" s="3261">
        <v>0.15</v>
      </c>
      <c r="D376" s="3261">
        <v>0.15</v>
      </c>
      <c r="E376" s="3261">
        <v>0.15</v>
      </c>
      <c r="F376" s="3261">
        <v>0.14199999999999999</v>
      </c>
      <c r="G376" s="3262">
        <v>0.15</v>
      </c>
    </row>
    <row r="377" spans="1:7" ht="14.25" thickBot="1">
      <c r="A377" s="3274" t="s">
        <v>2848</v>
      </c>
      <c r="B377" s="3264" t="s">
        <v>2923</v>
      </c>
      <c r="C377" s="3265">
        <v>0.15</v>
      </c>
      <c r="D377" s="3265">
        <v>0.15</v>
      </c>
      <c r="E377" s="3265">
        <v>0.15</v>
      </c>
      <c r="F377" s="3265">
        <v>0.14000000000000001</v>
      </c>
      <c r="G377" s="3267">
        <v>0.15</v>
      </c>
    </row>
    <row r="378" spans="1:7">
      <c r="A378" s="3270" t="s">
        <v>2849</v>
      </c>
      <c r="B378" s="3256" t="s">
        <v>2863</v>
      </c>
      <c r="C378" s="3257">
        <v>0.15</v>
      </c>
      <c r="D378" s="3257">
        <v>0.15</v>
      </c>
      <c r="E378" s="3257">
        <v>0.15</v>
      </c>
      <c r="F378" s="3257">
        <v>0.107</v>
      </c>
      <c r="G378" s="3258">
        <v>0.15</v>
      </c>
    </row>
    <row r="379" spans="1:7">
      <c r="A379" s="3271" t="s">
        <v>2849</v>
      </c>
      <c r="B379" s="3260" t="s">
        <v>2869</v>
      </c>
      <c r="C379" s="3261">
        <v>0.15</v>
      </c>
      <c r="D379" s="3261">
        <v>0.15</v>
      </c>
      <c r="E379" s="3261">
        <v>0.15</v>
      </c>
      <c r="F379" s="3261">
        <v>0.115</v>
      </c>
      <c r="G379" s="3262">
        <v>0.14899999999999999</v>
      </c>
    </row>
    <row r="380" spans="1:7">
      <c r="A380" s="3271" t="s">
        <v>2849</v>
      </c>
      <c r="B380" s="3260" t="s">
        <v>2875</v>
      </c>
      <c r="C380" s="3261">
        <v>0.15</v>
      </c>
      <c r="D380" s="3261">
        <v>0.15</v>
      </c>
      <c r="E380" s="3261">
        <v>0.15</v>
      </c>
      <c r="F380" s="3261">
        <v>0.1</v>
      </c>
      <c r="G380" s="3262">
        <v>0.14799999999999999</v>
      </c>
    </row>
    <row r="381" spans="1:7">
      <c r="A381" s="3271" t="s">
        <v>2849</v>
      </c>
      <c r="B381" s="3260" t="s">
        <v>2878</v>
      </c>
      <c r="C381" s="3261">
        <v>0.15</v>
      </c>
      <c r="D381" s="3261">
        <v>0.15</v>
      </c>
      <c r="E381" s="3261">
        <v>0.15</v>
      </c>
      <c r="F381" s="3261">
        <v>0.126</v>
      </c>
      <c r="G381" s="3262">
        <v>0.15</v>
      </c>
    </row>
    <row r="382" spans="1:7">
      <c r="A382" s="3271" t="s">
        <v>2849</v>
      </c>
      <c r="B382" s="3260" t="s">
        <v>2882</v>
      </c>
      <c r="C382" s="3261">
        <v>0.15</v>
      </c>
      <c r="D382" s="3261">
        <v>0.15</v>
      </c>
      <c r="E382" s="3261">
        <v>0.15</v>
      </c>
      <c r="F382" s="3261">
        <v>0.15</v>
      </c>
      <c r="G382" s="3262">
        <v>0.15</v>
      </c>
    </row>
    <row r="383" spans="1:7">
      <c r="A383" s="3271" t="s">
        <v>2849</v>
      </c>
      <c r="B383" s="3260" t="s">
        <v>2887</v>
      </c>
      <c r="C383" s="3261">
        <v>0.15</v>
      </c>
      <c r="D383" s="3261">
        <v>0.15</v>
      </c>
      <c r="E383" s="3261">
        <v>0.15</v>
      </c>
      <c r="F383" s="3261">
        <v>0.14699999999999999</v>
      </c>
      <c r="G383" s="3262">
        <v>0.15</v>
      </c>
    </row>
    <row r="384" spans="1:7" ht="14.25" thickBot="1">
      <c r="A384" s="3281" t="s">
        <v>2849</v>
      </c>
      <c r="B384" s="3282" t="s">
        <v>2891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62" t="s">
        <v>3230</v>
      </c>
      <c r="B1" s="3862"/>
      <c r="C1" s="3862"/>
      <c r="D1" s="3862"/>
      <c r="E1" s="3862"/>
      <c r="F1" s="3863"/>
    </row>
    <row r="2" spans="1:6">
      <c r="A2" s="3287" t="s">
        <v>3231</v>
      </c>
      <c r="B2" s="3288"/>
      <c r="C2" s="3288"/>
      <c r="D2" s="3288"/>
      <c r="E2" s="3288"/>
      <c r="F2" s="3288"/>
    </row>
    <row r="3" spans="1:6">
      <c r="A3" s="3287" t="s">
        <v>3232</v>
      </c>
      <c r="B3" s="3288"/>
      <c r="C3" s="3288"/>
      <c r="D3" s="3288"/>
      <c r="E3" s="3288"/>
      <c r="F3" s="3289" t="s">
        <v>3233</v>
      </c>
    </row>
    <row r="4" spans="1:6">
      <c r="A4" s="3290" t="s">
        <v>672</v>
      </c>
      <c r="B4" s="3290" t="s">
        <v>673</v>
      </c>
      <c r="C4" s="3290" t="s">
        <v>21</v>
      </c>
      <c r="D4" s="3290" t="s">
        <v>674</v>
      </c>
      <c r="E4" s="3290" t="s">
        <v>3</v>
      </c>
      <c r="F4" s="3290" t="s">
        <v>3234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7">
        <f>基准地价修正!G23</f>
        <v>45540</v>
      </c>
      <c r="B1" s="3206" t="s">
        <v>3369</v>
      </c>
      <c r="C1" s="3207"/>
      <c r="D1" s="3207"/>
      <c r="E1" s="3207"/>
      <c r="F1" s="3207"/>
      <c r="G1" s="3207"/>
      <c r="H1" s="3207"/>
      <c r="I1" s="3207"/>
      <c r="J1" s="3161"/>
      <c r="K1" s="3207" t="s">
        <v>454</v>
      </c>
      <c r="L1" s="3207"/>
      <c r="M1" s="3207"/>
      <c r="N1" s="3207"/>
      <c r="O1" s="3207"/>
      <c r="P1" s="3207"/>
      <c r="Q1" s="3161"/>
      <c r="R1" s="3864" t="s">
        <v>456</v>
      </c>
      <c r="S1" s="3865"/>
      <c r="T1" s="3865"/>
      <c r="U1" s="3865"/>
      <c r="V1" s="3865"/>
      <c r="W1" s="3865"/>
      <c r="X1" s="3161"/>
      <c r="Y1" s="3864" t="s">
        <v>457</v>
      </c>
      <c r="Z1" s="3865"/>
      <c r="AA1" s="3865"/>
      <c r="AB1" s="3865"/>
      <c r="AC1" s="3865"/>
      <c r="AD1" s="3865"/>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ROUND(AVERAGEIF(D4:D19,"&lt;&gt;0"),2)</f>
        <v>0.59</v>
      </c>
      <c r="E3" s="3147">
        <f t="shared" ref="E3:H3" si="0">ROUND(AVERAGEIF(E4:E19,"&lt;&gt;0"),2)</f>
        <v>0.36</v>
      </c>
      <c r="F3" s="3147">
        <f t="shared" si="0"/>
        <v>0.06</v>
      </c>
      <c r="G3" s="3147">
        <f t="shared" si="0"/>
        <v>0.6</v>
      </c>
      <c r="H3" s="3147">
        <f t="shared" si="0"/>
        <v>0.6</v>
      </c>
      <c r="I3" s="3147">
        <f>F3</f>
        <v>0.06</v>
      </c>
      <c r="J3" s="3148"/>
      <c r="K3" s="3149">
        <f>ROUND(AVERAGEIF(K4:K19,"&lt;&gt;0"),4)</f>
        <v>5.8999999999999999E-3</v>
      </c>
      <c r="L3" s="3150">
        <f t="shared" ref="L3:O3" si="1">ROUND(AVERAGEIF(L4:L19,"&lt;&gt;0"),4)</f>
        <v>3.5999999999999999E-3</v>
      </c>
      <c r="M3" s="3150">
        <f t="shared" si="1"/>
        <v>5.9999999999999995E-4</v>
      </c>
      <c r="N3" s="3150">
        <f t="shared" si="1"/>
        <v>6.0000000000000001E-3</v>
      </c>
      <c r="O3" s="3150">
        <f t="shared" si="1"/>
        <v>6.0000000000000001E-3</v>
      </c>
      <c r="P3" s="3150">
        <f>M3</f>
        <v>5.9999999999999995E-4</v>
      </c>
      <c r="Q3" s="3148"/>
      <c r="R3" s="3151">
        <f>ROUND(SUMPRODUCT(PRODUCT(1+K4:K19)),4)</f>
        <v>1.0852999999999999</v>
      </c>
      <c r="S3" s="3152">
        <f t="shared" ref="S3:V3" si="2">ROUND(SUMPRODUCT(PRODUCT(1+L4:L19)),4)</f>
        <v>1.0513999999999999</v>
      </c>
      <c r="T3" s="3152">
        <f t="shared" si="2"/>
        <v>1.0083</v>
      </c>
      <c r="U3" s="3152">
        <f t="shared" si="2"/>
        <v>1.0871999999999999</v>
      </c>
      <c r="V3" s="3152">
        <f t="shared" si="2"/>
        <v>1.0880000000000001</v>
      </c>
      <c r="W3" s="3151">
        <f>T3</f>
        <v>1.0083</v>
      </c>
      <c r="X3" s="3148"/>
      <c r="Y3" s="3153">
        <f>ROUND(AVERAGEIF(Y6:Y19,"&lt;&gt;0"),4)</f>
        <v>8.3999999999999995E-3</v>
      </c>
      <c r="Z3" s="3154">
        <f t="shared" ref="Z3:AC3" si="3">ROUND(AVERAGEIF(Z6:Z19,"&lt;&gt;0"),4)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3375</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1.0748</v>
      </c>
      <c r="S5" s="3179">
        <f>ROUND(IF(项目基本情况!$B$8="出让",SUMPRODUCT(PRODUCT(1+L5:$L$19)),SUMPRODUCT(PRODUCT(1+L5:$L$18))),4)</f>
        <v>1.0498000000000001</v>
      </c>
      <c r="T5" s="3179">
        <f>ROUND(IF(项目基本情况!$B$8="出让",SUMPRODUCT(PRODUCT(1+M5:$M$19)),SUMPRODUCT(PRODUCT(1+M5:$M$18))),4)</f>
        <v>1.0107999999999999</v>
      </c>
      <c r="U5" s="3179">
        <f>ROUND(IF(项目基本情况!$B$8="出让",SUMPRODUCT(PRODUCT(1+N5:$N$19)),SUMPRODUCT(PRODUCT(1+N5:$N$18))),4)</f>
        <v>1.0752999999999999</v>
      </c>
      <c r="V5" s="3179">
        <f>ROUND(IF(项目基本情况!$B$8="出让",SUMPRODUCT(PRODUCT(1+O5:$O$19)),SUMPRODUCT(PRODUCT(1+O5:$O$18))),4)</f>
        <v>1.0841000000000001</v>
      </c>
      <c r="W5" s="3179">
        <f>T5</f>
        <v>1.0107999999999999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3376</v>
      </c>
      <c r="B6" s="3183">
        <v>2024</v>
      </c>
      <c r="C6" s="3184">
        <v>2</v>
      </c>
      <c r="D6" s="3185">
        <v>-0.59</v>
      </c>
      <c r="E6" s="3185">
        <v>-0.21</v>
      </c>
      <c r="F6" s="3185">
        <v>-1.38</v>
      </c>
      <c r="G6" s="3185">
        <v>-1.24</v>
      </c>
      <c r="H6" s="3186">
        <v>0.34</v>
      </c>
      <c r="I6" s="3187">
        <f t="shared" ref="I6:I19" si="15">F6</f>
        <v>-1.38</v>
      </c>
      <c r="J6" s="3188"/>
      <c r="K6" s="3189">
        <f t="shared" ref="K6:O19" si="16">D6/100</f>
        <v>-5.8999999999999999E-3</v>
      </c>
      <c r="L6" s="3190">
        <f t="shared" si="16"/>
        <v>-2.0999999999999999E-3</v>
      </c>
      <c r="M6" s="3190">
        <f t="shared" si="16"/>
        <v>-1.38E-2</v>
      </c>
      <c r="N6" s="3190">
        <f t="shared" si="16"/>
        <v>-1.24E-2</v>
      </c>
      <c r="O6" s="3190">
        <f t="shared" si="16"/>
        <v>3.4000000000000002E-3</v>
      </c>
      <c r="P6" s="3190">
        <f>M6</f>
        <v>-1.38E-2</v>
      </c>
      <c r="Q6" s="3188"/>
      <c r="R6" s="3188">
        <f>ROUND(IF(项目基本情况!$B$8="出让",SUMPRODUCT(PRODUCT(1+K6:$K$19)),SUMPRODUCT(PRODUCT(1+K6:$K$18))),4)</f>
        <v>1.0748</v>
      </c>
      <c r="S6" s="3188">
        <f>ROUND(IF(项目基本情况!$B$8="出让",SUMPRODUCT(PRODUCT(1+L6:$L$19)),SUMPRODUCT(PRODUCT(1+L6:$L$18))),4)</f>
        <v>1.0498000000000001</v>
      </c>
      <c r="T6" s="3188">
        <f>ROUND(IF(项目基本情况!$B$8="出让",SUMPRODUCT(PRODUCT(1+M6:$M$19)),SUMPRODUCT(PRODUCT(1+M6:$M$18))),4)</f>
        <v>1.0107999999999999</v>
      </c>
      <c r="U6" s="3188">
        <f>ROUND(IF(项目基本情况!$B$8="出让",SUMPRODUCT(PRODUCT(1+N6:$N$19)),SUMPRODUCT(PRODUCT(1+N6:$N$18))),4)</f>
        <v>1.0752999999999999</v>
      </c>
      <c r="V6" s="3188">
        <f>ROUND(IF(项目基本情况!$B$8="出让",SUMPRODUCT(PRODUCT(1+O6:$O$19)),SUMPRODUCT(PRODUCT(1+O6:$O$18))),4)</f>
        <v>1.0841000000000001</v>
      </c>
      <c r="W6" s="3188">
        <f>T6</f>
        <v>1.0107999999999999</v>
      </c>
      <c r="X6" s="3188"/>
      <c r="Y6" s="3190">
        <f>IF(D6=0,0,ROUND(AVERAGE(D6:D19)/100,4))</f>
        <v>5.8999999999999999E-3</v>
      </c>
      <c r="Z6" s="3190">
        <f t="shared" ref="Z6:AC6" si="17">IF(E6=0,0,ROUND(AVERAGE(E6:E19)/100,4))</f>
        <v>3.5999999999999999E-3</v>
      </c>
      <c r="AA6" s="3190">
        <f t="shared" si="17"/>
        <v>5.9999999999999995E-4</v>
      </c>
      <c r="AB6" s="3190">
        <f t="shared" si="17"/>
        <v>6.0000000000000001E-3</v>
      </c>
      <c r="AC6" s="3190">
        <f t="shared" si="17"/>
        <v>6.0000000000000001E-3</v>
      </c>
      <c r="AD6" s="3190">
        <f t="shared" ref="AD6:AD18" si="18">AA6</f>
        <v>5.9999999999999995E-4</v>
      </c>
    </row>
    <row r="7" spans="1:30" s="3181" customFormat="1" ht="12.75">
      <c r="A7" s="3172" t="s">
        <v>3378</v>
      </c>
      <c r="B7" s="3173">
        <v>2024</v>
      </c>
      <c r="C7" s="3174">
        <v>1</v>
      </c>
      <c r="D7" s="3175">
        <v>0.08</v>
      </c>
      <c r="E7" s="3175">
        <v>0.46</v>
      </c>
      <c r="F7" s="3175">
        <v>-0.16</v>
      </c>
      <c r="G7" s="3175">
        <v>0.26</v>
      </c>
      <c r="H7" s="3192">
        <v>0.59</v>
      </c>
      <c r="I7" s="3176">
        <v>0</v>
      </c>
      <c r="J7" s="3177"/>
      <c r="K7" s="3178">
        <f t="shared" ref="K7" si="19">D7/100</f>
        <v>8.0000000000000004E-4</v>
      </c>
      <c r="L7" s="3168">
        <f t="shared" ref="L7" si="20">E7/100</f>
        <v>4.5999999999999999E-3</v>
      </c>
      <c r="M7" s="3168">
        <f t="shared" ref="M7" si="21">F7/100</f>
        <v>-1.6000000000000001E-3</v>
      </c>
      <c r="N7" s="3168">
        <f t="shared" ref="N7" si="22">G7/100</f>
        <v>2.5999999999999999E-3</v>
      </c>
      <c r="O7" s="3168">
        <f t="shared" ref="O7" si="23">H7/100</f>
        <v>5.8999999999999999E-3</v>
      </c>
      <c r="P7" s="3168">
        <f t="shared" ref="P7" si="24">M7</f>
        <v>-1.6000000000000001E-3</v>
      </c>
      <c r="Q7" s="3177"/>
      <c r="R7" s="3179">
        <f>ROUND(IF(项目基本情况!$B$8="出让",SUMPRODUCT(PRODUCT(1+K7:$K$19)),SUMPRODUCT(PRODUCT(1+K7:$K$18))),4)</f>
        <v>1.0811999999999999</v>
      </c>
      <c r="S7" s="3179">
        <f>ROUND(IF(项目基本情况!$B$8="出让",SUMPRODUCT(PRODUCT(1+L7:$L$19)),SUMPRODUCT(PRODUCT(1+L7:$L$18))),4)</f>
        <v>1.052</v>
      </c>
      <c r="T7" s="3179">
        <f>ROUND(IF(项目基本情况!$B$8="出让",SUMPRODUCT(PRODUCT(1+M7:$M$19)),SUMPRODUCT(PRODUCT(1+M7:$M$18))),4)</f>
        <v>1.0249999999999999</v>
      </c>
      <c r="U7" s="3179">
        <f>ROUND(IF(项目基本情况!$B$8="出让",SUMPRODUCT(PRODUCT(1+N7:$N$19)),SUMPRODUCT(PRODUCT(1+N7:$N$18))),4)</f>
        <v>1.0888</v>
      </c>
      <c r="V7" s="3179">
        <f>ROUND(IF(项目基本情况!$B$8="出让",SUMPRODUCT(PRODUCT(1+O7:$O$19)),SUMPRODUCT(PRODUCT(1+O7:$O$18))),4)</f>
        <v>1.0804</v>
      </c>
      <c r="W7" s="3179">
        <f t="shared" ref="W7" si="25">T7</f>
        <v>1.0249999999999999</v>
      </c>
      <c r="X7" s="3177"/>
      <c r="Y7" s="3180"/>
      <c r="Z7" s="3180"/>
      <c r="AA7" s="3180"/>
      <c r="AB7" s="3180"/>
      <c r="AC7" s="3180"/>
      <c r="AD7" s="3180"/>
    </row>
    <row r="8" spans="1:30" s="3181" customFormat="1" ht="12.75">
      <c r="A8" s="3172" t="s">
        <v>3373</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3372</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3368</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3367</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3366</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3362</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3353</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2818</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2819</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2820</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2821</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2822</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3364</v>
      </c>
    </row>
    <row r="22" spans="1:30" s="3005" customFormat="1">
      <c r="I22" s="3204" t="s">
        <v>2823</v>
      </c>
    </row>
    <row r="23" spans="1:30" s="3005" customFormat="1"/>
    <row r="24" spans="1:30" s="3205" customFormat="1" ht="12.75">
      <c r="B24" s="3206" t="s">
        <v>3370</v>
      </c>
      <c r="C24" s="3207"/>
      <c r="D24" s="3207"/>
      <c r="E24" s="3207"/>
      <c r="F24" s="3207"/>
      <c r="G24" s="3207"/>
      <c r="H24" s="3207"/>
      <c r="I24" s="3207"/>
      <c r="J24" s="3161"/>
      <c r="K24" s="3207" t="s">
        <v>2824</v>
      </c>
      <c r="L24" s="3207"/>
      <c r="M24" s="3207"/>
      <c r="N24" s="3207"/>
      <c r="O24" s="3207"/>
      <c r="P24" s="3207"/>
      <c r="Q24" s="3161"/>
      <c r="R24" s="3864" t="s">
        <v>2825</v>
      </c>
      <c r="S24" s="3865"/>
      <c r="T24" s="3865"/>
      <c r="U24" s="3865"/>
      <c r="V24" s="3865"/>
      <c r="W24" s="3865"/>
      <c r="X24" s="3161"/>
      <c r="Y24" s="3864" t="s">
        <v>2826</v>
      </c>
      <c r="Z24" s="3865"/>
      <c r="AA24" s="3865"/>
      <c r="AB24" s="3865"/>
      <c r="AC24" s="3865"/>
      <c r="AD24" s="3865"/>
    </row>
    <row r="25" spans="1:30" s="3139" customFormat="1" ht="14.25" thickBot="1">
      <c r="B25" s="3140"/>
      <c r="C25" s="3141"/>
      <c r="D25" s="3142" t="s">
        <v>2827</v>
      </c>
      <c r="E25" s="3143" t="s">
        <v>2828</v>
      </c>
      <c r="F25" s="3143" t="s">
        <v>2829</v>
      </c>
      <c r="G25" s="3143" t="s">
        <v>2830</v>
      </c>
      <c r="H25" s="3143"/>
      <c r="I25" s="3143" t="s">
        <v>2831</v>
      </c>
      <c r="J25" s="3144"/>
      <c r="K25" s="3142" t="s">
        <v>2827</v>
      </c>
      <c r="L25" s="3143" t="s">
        <v>2828</v>
      </c>
      <c r="M25" s="3143" t="s">
        <v>2829</v>
      </c>
      <c r="N25" s="3143" t="s">
        <v>2830</v>
      </c>
      <c r="O25" s="3143"/>
      <c r="P25" s="3143" t="s">
        <v>2831</v>
      </c>
      <c r="Q25" s="3144"/>
      <c r="R25" s="3142" t="s">
        <v>2827</v>
      </c>
      <c r="S25" s="3143" t="s">
        <v>2828</v>
      </c>
      <c r="T25" s="3143" t="s">
        <v>2829</v>
      </c>
      <c r="U25" s="3143" t="s">
        <v>2830</v>
      </c>
      <c r="V25" s="3143"/>
      <c r="W25" s="3143" t="s">
        <v>2831</v>
      </c>
      <c r="X25" s="3144"/>
      <c r="Y25" s="3142" t="s">
        <v>2827</v>
      </c>
      <c r="Z25" s="3143" t="s">
        <v>2828</v>
      </c>
      <c r="AA25" s="3143" t="s">
        <v>2829</v>
      </c>
      <c r="AB25" s="3143" t="s">
        <v>2830</v>
      </c>
      <c r="AC25" s="3143"/>
      <c r="AD25" s="3143" t="s">
        <v>2831</v>
      </c>
    </row>
    <row r="26" spans="1:30" s="3157" customFormat="1" ht="12.75">
      <c r="A26" s="3145" t="s">
        <v>2832</v>
      </c>
      <c r="B26" s="3146"/>
      <c r="C26" s="3147"/>
      <c r="D26" s="3147"/>
      <c r="E26" s="3147">
        <f t="shared" ref="E26:G26" si="43">ROUND(AVERAGEIF(E27:E42,"&lt;&gt;0"),2)</f>
        <v>0.33</v>
      </c>
      <c r="F26" s="3147">
        <f t="shared" si="43"/>
        <v>0.24</v>
      </c>
      <c r="G26" s="3147">
        <f t="shared" si="43"/>
        <v>0.62</v>
      </c>
      <c r="H26" s="3147"/>
      <c r="I26" s="3147">
        <f>F26</f>
        <v>0.24</v>
      </c>
      <c r="J26" s="3148"/>
      <c r="K26" s="3149"/>
      <c r="L26" s="3150">
        <f t="shared" ref="L26:N26" si="44">ROUND(AVERAGEIF(L27:L42,"&lt;&gt;0"),4)</f>
        <v>3.3E-3</v>
      </c>
      <c r="M26" s="3150">
        <f t="shared" si="44"/>
        <v>2.3999999999999998E-3</v>
      </c>
      <c r="N26" s="3150">
        <f t="shared" si="44"/>
        <v>6.1999999999999998E-3</v>
      </c>
      <c r="O26" s="3150"/>
      <c r="P26" s="3150">
        <f>M26</f>
        <v>2.3999999999999998E-3</v>
      </c>
      <c r="Q26" s="3148"/>
      <c r="R26" s="3151"/>
      <c r="S26" s="3152">
        <f>ROUND(SUMPRODUCT(PRODUCT(1+L27:L42)),4)</f>
        <v>1.0468999999999999</v>
      </c>
      <c r="T26" s="3152">
        <f t="shared" ref="T26:U26" si="45">ROUND(SUMPRODUCT(PRODUCT(1+M27:M42)),4)</f>
        <v>1.0347</v>
      </c>
      <c r="U26" s="3152">
        <f t="shared" si="45"/>
        <v>1.0895999999999999</v>
      </c>
      <c r="V26" s="3152"/>
      <c r="W26" s="3151">
        <f>T26</f>
        <v>1.0347</v>
      </c>
      <c r="X26" s="3148"/>
      <c r="Y26" s="3153"/>
      <c r="Z26" s="3154">
        <f t="shared" ref="Z26:AB26" si="46">ROUND(AVERAGEIF(Z27:Z42,"&lt;&gt;0"),4)</f>
        <v>4.1999999999999997E-3</v>
      </c>
      <c r="AA26" s="3155">
        <f t="shared" si="46"/>
        <v>3.3999999999999998E-3</v>
      </c>
      <c r="AB26" s="3153">
        <f t="shared" si="46"/>
        <v>8.6E-3</v>
      </c>
      <c r="AC26" s="3156"/>
      <c r="AD26" s="3153">
        <f>AA26</f>
        <v>3.3999999999999998E-3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2" t="s">
        <v>3375</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1.0432999999999999</v>
      </c>
      <c r="T28" s="3179">
        <f>ROUND(IF(项目基本情况!$B$8="出让",SUMPRODUCT(PRODUCT(1+M28:M$42)),SUMPRODUCT(PRODUCT(1+M28:M$41))),4)</f>
        <v>1.0298</v>
      </c>
      <c r="U28" s="3179">
        <f>ROUND(IF(项目基本情况!$B$8="出让",SUMPRODUCT(PRODUCT(1+N28:N$42)),SUMPRODUCT(PRODUCT(1+N28:N$41))),4)</f>
        <v>1.079</v>
      </c>
      <c r="V28" s="3179"/>
      <c r="W28" s="3179">
        <f>T28</f>
        <v>1.0298</v>
      </c>
      <c r="X28" s="3177"/>
      <c r="Y28" s="3180"/>
      <c r="Z28" s="3208">
        <f t="shared" ref="Z28:AB29" si="51">IF(E28=0,0,ROUND(AVERAGE(E28:E41)/100,4))</f>
        <v>0</v>
      </c>
      <c r="AA28" s="3208">
        <f t="shared" si="51"/>
        <v>0</v>
      </c>
      <c r="AB28" s="3208">
        <f t="shared" si="51"/>
        <v>0</v>
      </c>
      <c r="AC28" s="3209"/>
      <c r="AD28" s="3180">
        <f>IF(I28=0,0,ROUND(AVERAGE(I28:I41)/100,4))</f>
        <v>0</v>
      </c>
    </row>
    <row r="29" spans="1:30" s="3191" customFormat="1" ht="12.75">
      <c r="A29" s="3182" t="s">
        <v>3376</v>
      </c>
      <c r="B29" s="3183">
        <v>2024</v>
      </c>
      <c r="C29" s="3184">
        <v>2</v>
      </c>
      <c r="D29" s="3185"/>
      <c r="E29" s="3185">
        <v>-0.31</v>
      </c>
      <c r="F29" s="3185">
        <v>-0.39</v>
      </c>
      <c r="G29" s="3185">
        <v>1.23</v>
      </c>
      <c r="H29" s="3186"/>
      <c r="I29" s="3187">
        <f t="shared" ref="I29:I42" si="52">F29</f>
        <v>-0.39</v>
      </c>
      <c r="J29" s="3188"/>
      <c r="K29" s="3189"/>
      <c r="L29" s="3190">
        <f t="shared" ref="L29:N42" si="53">E29/100</f>
        <v>-3.0999999999999999E-3</v>
      </c>
      <c r="M29" s="3190">
        <f t="shared" si="53"/>
        <v>-3.9000000000000003E-3</v>
      </c>
      <c r="N29" s="3190">
        <f t="shared" si="53"/>
        <v>1.23E-2</v>
      </c>
      <c r="O29" s="3190"/>
      <c r="P29" s="3190">
        <f>M29</f>
        <v>-3.9000000000000003E-3</v>
      </c>
      <c r="Q29" s="3188"/>
      <c r="R29" s="3188"/>
      <c r="S29" s="3188">
        <f>ROUND(IF(项目基本情况!$B$8="出让",SUMPRODUCT(PRODUCT(1+L29:L$42)),SUMPRODUCT(PRODUCT(1+L29:L$41))),4)</f>
        <v>1.0432999999999999</v>
      </c>
      <c r="T29" s="3188">
        <f>ROUND(IF(项目基本情况!$B$8="出让",SUMPRODUCT(PRODUCT(1+M29:M$42)),SUMPRODUCT(PRODUCT(1+M29:M$41))),4)</f>
        <v>1.0298</v>
      </c>
      <c r="U29" s="3188">
        <f>ROUND(IF(项目基本情况!$B$8="出让",SUMPRODUCT(PRODUCT(1+N29:N$42)),SUMPRODUCT(PRODUCT(1+N29:N$41))),4)</f>
        <v>1.079</v>
      </c>
      <c r="V29" s="3188"/>
      <c r="W29" s="3188">
        <f>T29</f>
        <v>1.0298</v>
      </c>
      <c r="X29" s="3188"/>
      <c r="Y29" s="3190"/>
      <c r="Z29" s="3211">
        <f t="shared" si="51"/>
        <v>3.3E-3</v>
      </c>
      <c r="AA29" s="3212">
        <f t="shared" si="51"/>
        <v>2.3999999999999998E-3</v>
      </c>
      <c r="AB29" s="3190">
        <f t="shared" si="51"/>
        <v>6.1999999999999998E-3</v>
      </c>
      <c r="AC29" s="3213"/>
      <c r="AD29" s="3190">
        <f>IF(I29=0,0,ROUND(AVERAGE(I29:I42)/100,4))</f>
        <v>2.3999999999999998E-3</v>
      </c>
    </row>
    <row r="30" spans="1:30" s="3181" customFormat="1" ht="12.75">
      <c r="A30" s="3172" t="s">
        <v>3377</v>
      </c>
      <c r="B30" s="3173">
        <v>2024</v>
      </c>
      <c r="C30" s="3174">
        <v>1</v>
      </c>
      <c r="D30" s="3175"/>
      <c r="E30" s="3175">
        <v>0.25</v>
      </c>
      <c r="F30" s="3175">
        <v>0.4</v>
      </c>
      <c r="G30" s="3175">
        <v>-0.63</v>
      </c>
      <c r="H30" s="3192"/>
      <c r="I30" s="3176">
        <f t="shared" ref="I30:I31" si="54">F30</f>
        <v>0.4</v>
      </c>
      <c r="J30" s="3177"/>
      <c r="K30" s="3178"/>
      <c r="L30" s="3168">
        <f t="shared" ref="L30" si="55">E30/100</f>
        <v>2.5000000000000001E-3</v>
      </c>
      <c r="M30" s="3168">
        <f t="shared" ref="M30" si="56">F30/100</f>
        <v>4.0000000000000001E-3</v>
      </c>
      <c r="N30" s="3168">
        <f t="shared" ref="N30" si="57">G30/100</f>
        <v>-6.3E-3</v>
      </c>
      <c r="O30" s="3168"/>
      <c r="P30" s="3168">
        <f t="shared" ref="P30" si="58">M30</f>
        <v>4.0000000000000001E-3</v>
      </c>
      <c r="Q30" s="3177"/>
      <c r="R30" s="3179"/>
      <c r="S30" s="3179">
        <f>ROUND(IF(项目基本情况!$B$8="出让",SUMPRODUCT(PRODUCT(1+L30:L$42)),SUMPRODUCT(PRODUCT(1+L30:L$41))),4)</f>
        <v>1.0465</v>
      </c>
      <c r="T30" s="3179">
        <f>ROUND(IF(项目基本情况!$B$8="出让",SUMPRODUCT(PRODUCT(1+M30:M$42)),SUMPRODUCT(PRODUCT(1+M30:M$41))),4)</f>
        <v>1.0338000000000001</v>
      </c>
      <c r="U30" s="3179">
        <f>ROUND(IF(项目基本情况!$B$8="出让",SUMPRODUCT(PRODUCT(1+N30:N$42)),SUMPRODUCT(PRODUCT(1+N30:N$41))),4)</f>
        <v>1.0659000000000001</v>
      </c>
      <c r="V30" s="3179"/>
      <c r="W30" s="3179">
        <f t="shared" ref="W30" si="59">T30</f>
        <v>1.0338000000000001</v>
      </c>
      <c r="X30" s="3177"/>
      <c r="Y30" s="3180"/>
      <c r="Z30" s="3208"/>
      <c r="AA30" s="3210"/>
      <c r="AB30" s="3180"/>
      <c r="AC30" s="3209"/>
      <c r="AD30" s="3180"/>
    </row>
    <row r="31" spans="1:30" s="3181" customFormat="1" ht="12.75">
      <c r="A31" s="3172" t="s">
        <v>3374</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3372</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3371</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3367</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3366</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3363</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3353</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2833</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2834</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2835</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2836</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2822</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71" t="s">
        <v>452</v>
      </c>
      <c r="C1" s="3871"/>
      <c r="D1" s="3871"/>
      <c r="E1" s="3871"/>
      <c r="F1" s="3871"/>
      <c r="G1" s="3870" t="s">
        <v>453</v>
      </c>
      <c r="H1" s="3870"/>
      <c r="I1" s="3870"/>
      <c r="J1" s="3870"/>
      <c r="K1" s="3870"/>
      <c r="L1" s="3870"/>
      <c r="N1" s="3870" t="s">
        <v>454</v>
      </c>
      <c r="O1" s="3870"/>
      <c r="P1" s="3870"/>
      <c r="Q1" s="3870"/>
      <c r="S1" s="3870" t="s">
        <v>455</v>
      </c>
      <c r="T1" s="3870"/>
      <c r="U1" s="3870"/>
      <c r="V1" s="3870"/>
      <c r="X1" s="3869" t="s">
        <v>456</v>
      </c>
      <c r="Y1" s="3870"/>
      <c r="Z1" s="3870"/>
      <c r="AA1" s="3870"/>
      <c r="AB1" s="3870"/>
      <c r="AD1" s="3869" t="s">
        <v>457</v>
      </c>
      <c r="AE1" s="3870"/>
      <c r="AF1" s="3870"/>
      <c r="AG1" s="3870"/>
      <c r="AH1" s="387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2110</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3361</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3358</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2111</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3359</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3360</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2434</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2311</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2310</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2309</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2306</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2305</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2126</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2124</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2123</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2122</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2120</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2119</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2121</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6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2117</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6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2116</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6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2109</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7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2107</v>
      </c>
      <c r="B25" s="2217">
        <v>439</v>
      </c>
      <c r="C25" s="2217">
        <v>327</v>
      </c>
      <c r="D25" s="2217">
        <f>C25</f>
        <v>327</v>
      </c>
      <c r="E25" s="2217">
        <v>627</v>
      </c>
      <c r="F25" s="2218">
        <v>283</v>
      </c>
      <c r="G25" s="387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2108</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6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6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7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7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6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6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6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6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6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6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6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6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6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6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6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7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7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7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7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6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6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6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6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6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6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6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6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6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6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6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6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6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6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6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6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6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6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6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6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6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6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6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6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6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6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6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6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6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6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6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6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6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6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6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6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6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6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6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6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6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6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6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6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45540</v>
      </c>
      <c r="D1" s="1301" t="s">
        <v>603</v>
      </c>
      <c r="E1" s="1296">
        <f>'数据-取费表'!B22</f>
        <v>2</v>
      </c>
      <c r="F1" s="1301" t="s">
        <v>604</v>
      </c>
      <c r="G1" s="1297">
        <f ca="1">INDIRECT("d"&amp;$K$1)/100</f>
        <v>3.3500000000000002E-2</v>
      </c>
      <c r="H1" s="1301" t="s">
        <v>634</v>
      </c>
      <c r="I1" s="1297">
        <f ca="1">F4/100</f>
        <v>1.4999999999999999E-2</v>
      </c>
      <c r="J1" s="1302">
        <f>IF(C1&gt;C13,0,MATCH(C1,C$13:C$113,-1))+IF(SUMIF(C13:C113,C1,D13:D113)=0,13,12)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45495</v>
      </c>
      <c r="D13" s="2818">
        <v>3.35</v>
      </c>
      <c r="E13" s="2818">
        <f>D13</f>
        <v>3.35</v>
      </c>
      <c r="F13" s="2818">
        <f>D13</f>
        <v>3.35</v>
      </c>
      <c r="G13" s="2818">
        <f>D13</f>
        <v>3.35</v>
      </c>
      <c r="H13" s="2818">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45342</v>
      </c>
      <c r="D14" s="2813">
        <v>3.45</v>
      </c>
      <c r="E14" s="2813">
        <f>D14</f>
        <v>3.45</v>
      </c>
      <c r="F14" s="2813">
        <f>D14</f>
        <v>3.45</v>
      </c>
      <c r="G14" s="2813">
        <f>D14</f>
        <v>3.45</v>
      </c>
      <c r="H14" s="2813">
        <v>3.95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45159</v>
      </c>
      <c r="D15" s="2813">
        <v>3.45</v>
      </c>
      <c r="E15" s="2813">
        <f>D15</f>
        <v>3.45</v>
      </c>
      <c r="F15" s="2813">
        <f>D15</f>
        <v>3.45</v>
      </c>
      <c r="G15" s="2813">
        <f>D15</f>
        <v>3.45</v>
      </c>
      <c r="H15" s="2813">
        <v>4.2</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45097</v>
      </c>
      <c r="D16" s="2813">
        <v>3.55</v>
      </c>
      <c r="E16" s="2813">
        <f>D16</f>
        <v>3.55</v>
      </c>
      <c r="F16" s="2813">
        <f>D16</f>
        <v>3.55</v>
      </c>
      <c r="G16" s="2813">
        <f>D16</f>
        <v>3.55</v>
      </c>
      <c r="H16" s="2813">
        <v>4.2</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44795</v>
      </c>
      <c r="D17" s="2813">
        <v>3.65</v>
      </c>
      <c r="E17" s="2813">
        <v>3.65</v>
      </c>
      <c r="F17" s="2813">
        <v>3.65</v>
      </c>
      <c r="G17" s="2813">
        <v>3.65</v>
      </c>
      <c r="H17" s="2813">
        <v>4.3</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4">
        <v>44701</v>
      </c>
      <c r="D18" s="2813">
        <v>3.7</v>
      </c>
      <c r="E18" s="2813">
        <f>D18</f>
        <v>3.7</v>
      </c>
      <c r="F18" s="2813">
        <f>D18</f>
        <v>3.7</v>
      </c>
      <c r="G18" s="2813">
        <f>D18</f>
        <v>3.7</v>
      </c>
      <c r="H18" s="2813">
        <v>4.45</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2"/>
      <c r="C19" s="2814">
        <v>44581</v>
      </c>
      <c r="D19" s="2813">
        <v>3.7</v>
      </c>
      <c r="E19" s="2813">
        <f>D19</f>
        <v>3.7</v>
      </c>
      <c r="F19" s="2813">
        <f>D19</f>
        <v>3.7</v>
      </c>
      <c r="G19" s="2813">
        <f>D19</f>
        <v>3.7</v>
      </c>
      <c r="H19" s="2813">
        <v>4.5999999999999996</v>
      </c>
      <c r="I19" s="2818"/>
      <c r="J19" s="2818"/>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44550</v>
      </c>
      <c r="D20" s="2813">
        <v>3.8</v>
      </c>
      <c r="E20" s="2813">
        <f>D20</f>
        <v>3.8</v>
      </c>
      <c r="F20" s="2813">
        <f>D20</f>
        <v>3.8</v>
      </c>
      <c r="G20" s="2813">
        <f>D20</f>
        <v>3.8</v>
      </c>
      <c r="H20" s="2813">
        <v>4.6500000000000004</v>
      </c>
      <c r="I20" s="2813"/>
      <c r="J20" s="2818"/>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43941</v>
      </c>
      <c r="D21" s="2813">
        <v>3.85</v>
      </c>
      <c r="E21" s="2813">
        <v>3.85</v>
      </c>
      <c r="F21" s="2813">
        <v>3.85</v>
      </c>
      <c r="G21" s="2813">
        <v>3.85</v>
      </c>
      <c r="H21" s="2813">
        <v>4.6500000000000004</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43881</v>
      </c>
      <c r="D22" s="2813">
        <v>4.05</v>
      </c>
      <c r="E22" s="2813">
        <v>4.05</v>
      </c>
      <c r="F22" s="2813">
        <v>4.05</v>
      </c>
      <c r="G22" s="2813">
        <v>4.05</v>
      </c>
      <c r="H22" s="2813">
        <v>4.75</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3"/>
      <c r="C23" s="2814">
        <v>43789</v>
      </c>
      <c r="D23" s="2813">
        <v>4.1500000000000004</v>
      </c>
      <c r="E23" s="2813">
        <v>4.1500000000000004</v>
      </c>
      <c r="F23" s="2813">
        <v>4.1500000000000004</v>
      </c>
      <c r="G23" s="2813">
        <v>4.1500000000000004</v>
      </c>
      <c r="H23" s="2813">
        <v>4.8</v>
      </c>
      <c r="I23" s="2813"/>
      <c r="J23" s="2813"/>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3"/>
      <c r="C24" s="2814">
        <v>43728</v>
      </c>
      <c r="D24" s="2813">
        <v>4.2</v>
      </c>
      <c r="E24" s="2813">
        <v>4.2</v>
      </c>
      <c r="F24" s="2813">
        <v>4.2</v>
      </c>
      <c r="G24" s="2813">
        <v>4.2</v>
      </c>
      <c r="H24" s="2813">
        <v>4.8499999999999996</v>
      </c>
      <c r="I24" s="2813"/>
      <c r="J24" s="2813"/>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4.25">
      <c r="B25" s="2812" t="s">
        <v>2307</v>
      </c>
      <c r="C25" s="2815">
        <v>43697</v>
      </c>
      <c r="D25" s="2816">
        <v>4.25</v>
      </c>
      <c r="E25" s="2816">
        <v>4.25</v>
      </c>
      <c r="F25" s="2816">
        <v>4.25</v>
      </c>
      <c r="G25" s="2816">
        <v>4.25</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20"/>
      <c r="C26" s="2821">
        <v>42301</v>
      </c>
      <c r="D26" s="2822">
        <v>4.3499999999999996</v>
      </c>
      <c r="E26" s="2822">
        <v>4.3499999999999996</v>
      </c>
      <c r="F26" s="2822">
        <v>4.75</v>
      </c>
      <c r="G26" s="2822">
        <v>4.75</v>
      </c>
      <c r="H26" s="2822">
        <v>4.9000000000000004</v>
      </c>
      <c r="I26" s="2822"/>
      <c r="J26" s="2822"/>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9" t="str">
        <f>IF(项目基本情况!B9="房地产市场价值","估价结果一览表","结果表-2")</f>
        <v>结果表-2</v>
      </c>
      <c r="B1" s="3539"/>
      <c r="C1" s="3539"/>
      <c r="D1" s="3539"/>
      <c r="E1" s="3539"/>
      <c r="F1" s="3539"/>
      <c r="G1" s="3539"/>
      <c r="H1" s="3539"/>
      <c r="I1" s="3539"/>
    </row>
    <row r="2" spans="1:9" ht="30" customHeight="1" thickTop="1">
      <c r="A2" s="3540" t="s">
        <v>928</v>
      </c>
      <c r="B2" s="3540" t="s">
        <v>929</v>
      </c>
      <c r="C2" s="3540" t="s">
        <v>930</v>
      </c>
      <c r="D2" s="3540" t="str">
        <f>结果表!D116</f>
        <v>出让国有建设用地使用权价值</v>
      </c>
      <c r="E2" s="3540"/>
      <c r="F2" s="3540" t="str">
        <f>结果表!F116</f>
        <v>建筑物价值</v>
      </c>
      <c r="G2" s="3540"/>
      <c r="H2" s="3540" t="str">
        <f>IF(项目基本情况!B9="房地产市场价值","房地产市场价值","房地产价值")</f>
        <v>房地产价值</v>
      </c>
      <c r="I2" s="3540"/>
    </row>
    <row r="3" spans="1:9" ht="15">
      <c r="A3" s="3535"/>
      <c r="B3" s="3535"/>
      <c r="C3" s="3535"/>
      <c r="D3" s="854" t="s">
        <v>925</v>
      </c>
      <c r="E3" s="854" t="s">
        <v>931</v>
      </c>
      <c r="F3" s="854" t="s">
        <v>925</v>
      </c>
      <c r="G3" s="854" t="s">
        <v>926</v>
      </c>
      <c r="H3" s="854" t="s">
        <v>925</v>
      </c>
      <c r="I3" s="854" t="s">
        <v>926</v>
      </c>
    </row>
    <row r="4" spans="1:9" ht="45">
      <c r="A4" s="1503" t="str">
        <f>项目基本情况!S2</f>
        <v>天津市北辰区万河路55号“京东智能产业园天津北辰”项目非居住用房房地产</v>
      </c>
      <c r="B4" s="854">
        <f>项目基本情况!C17</f>
        <v>270951.53999999998</v>
      </c>
      <c r="C4" s="854">
        <f>项目基本情况!C18</f>
        <v>242044.6</v>
      </c>
      <c r="D4" s="854">
        <f ca="1">结果表!D118</f>
        <v>14677</v>
      </c>
      <c r="E4" s="854">
        <f ca="1">结果表!E118</f>
        <v>542</v>
      </c>
      <c r="F4" s="854">
        <f ca="1">结果表!F118</f>
        <v>92162</v>
      </c>
      <c r="G4" s="854">
        <f ca="1">结果表!G118</f>
        <v>3401</v>
      </c>
      <c r="H4" s="854">
        <f ca="1">结果表!H118</f>
        <v>106839</v>
      </c>
      <c r="I4" s="854">
        <f ca="1">结果表!I118</f>
        <v>3943</v>
      </c>
    </row>
    <row r="5" spans="1:9" ht="30" customHeight="1">
      <c r="A5" s="3535" t="s">
        <v>927</v>
      </c>
      <c r="B5" s="3535"/>
      <c r="C5" s="3535"/>
      <c r="D5" s="3535" t="str">
        <f ca="1">结果表!D119</f>
        <v>壹亿肆仟陆佰柒拾柒万元整</v>
      </c>
      <c r="E5" s="3535"/>
      <c r="F5" s="3535" t="str">
        <f ca="1">结果表!F119</f>
        <v>玖亿贰仟壹佰陆拾贰万元整</v>
      </c>
      <c r="G5" s="3535"/>
      <c r="H5" s="3535" t="str">
        <f ca="1">结果表!H119</f>
        <v>壹拾亿陆仟捌佰叁拾玖万元整</v>
      </c>
      <c r="I5" s="3535"/>
    </row>
    <row r="6" spans="1:9" ht="15.75">
      <c r="A6" s="3534" t="str">
        <f>结果表!A120</f>
        <v>估价师知悉的法定优先受偿款</v>
      </c>
      <c r="B6" s="3534"/>
      <c r="C6" s="3534"/>
      <c r="D6" s="3534">
        <f>结果表!D120</f>
        <v>0</v>
      </c>
      <c r="E6" s="3534"/>
      <c r="F6" s="3534"/>
      <c r="G6" s="3534"/>
      <c r="H6" s="3534"/>
      <c r="I6" s="3534"/>
    </row>
    <row r="7" spans="1:9" ht="15">
      <c r="A7" s="3535" t="s">
        <v>927</v>
      </c>
      <c r="B7" s="3535"/>
      <c r="C7" s="3535"/>
      <c r="D7" s="3536" t="str">
        <f>结果表!D121</f>
        <v>零元整</v>
      </c>
      <c r="E7" s="3537"/>
      <c r="F7" s="3537"/>
      <c r="G7" s="3537"/>
      <c r="H7" s="3537"/>
      <c r="I7" s="3538"/>
    </row>
    <row r="8" spans="1:9" ht="15.75">
      <c r="A8" s="3534" t="str">
        <f>结果表!A122</f>
        <v>房地产抵押价值</v>
      </c>
      <c r="B8" s="3534"/>
      <c r="C8" s="3534"/>
      <c r="D8" s="3534">
        <f ca="1">结果表!D122</f>
        <v>106839</v>
      </c>
      <c r="E8" s="3534"/>
      <c r="F8" s="3534"/>
      <c r="G8" s="3534"/>
      <c r="H8" s="3534"/>
      <c r="I8" s="3534"/>
    </row>
    <row r="9" spans="1:9" ht="15">
      <c r="A9" s="3535" t="s">
        <v>927</v>
      </c>
      <c r="B9" s="3535"/>
      <c r="C9" s="3535"/>
      <c r="D9" s="3535" t="str">
        <f ca="1">结果表!D123</f>
        <v>壹拾亿陆仟捌佰叁拾玖万元整</v>
      </c>
      <c r="E9" s="3535"/>
      <c r="F9" s="3535"/>
      <c r="G9" s="3535"/>
      <c r="H9" s="3535"/>
      <c r="I9" s="3535"/>
    </row>
    <row r="10" spans="1:9" ht="15.75">
      <c r="A10" s="3534" t="str">
        <f>结果表!A124</f>
        <v/>
      </c>
      <c r="B10" s="3534"/>
      <c r="C10" s="3534"/>
      <c r="D10" s="3534" t="str">
        <f>结果表!D124</f>
        <v>——</v>
      </c>
      <c r="E10" s="3534"/>
      <c r="F10" s="3534"/>
      <c r="G10" s="3534"/>
      <c r="H10" s="3534"/>
      <c r="I10" s="3534"/>
    </row>
    <row r="11" spans="1:9" ht="15">
      <c r="A11" s="3535" t="s">
        <v>927</v>
      </c>
      <c r="B11" s="3535"/>
      <c r="C11" s="3535"/>
      <c r="D11" s="3535" t="e">
        <f>结果表!D125</f>
        <v>#VALUE!</v>
      </c>
      <c r="E11" s="3535"/>
      <c r="F11" s="3535"/>
      <c r="G11" s="3535"/>
      <c r="H11" s="3535"/>
      <c r="I11" s="3535"/>
    </row>
    <row r="12" spans="1:9" ht="15.75">
      <c r="A12" s="3534" t="str">
        <f>结果表!A126</f>
        <v/>
      </c>
      <c r="B12" s="3534"/>
      <c r="C12" s="3534"/>
      <c r="D12" s="3534" t="str">
        <f>结果表!D126</f>
        <v>——</v>
      </c>
      <c r="E12" s="3534"/>
      <c r="F12" s="3534"/>
      <c r="G12" s="3534"/>
      <c r="H12" s="3534"/>
      <c r="I12" s="3534"/>
    </row>
    <row r="13" spans="1:9" ht="15.75" thickBot="1">
      <c r="A13" s="3532" t="s">
        <v>927</v>
      </c>
      <c r="B13" s="3532"/>
      <c r="C13" s="3532"/>
      <c r="D13" s="3532" t="e">
        <f>结果表!D127</f>
        <v>#VALUE!</v>
      </c>
      <c r="E13" s="3532"/>
      <c r="F13" s="3532"/>
      <c r="G13" s="3532"/>
      <c r="H13" s="3532"/>
      <c r="I13" s="3532"/>
    </row>
    <row r="14" spans="1:9" ht="15" thickTop="1">
      <c r="A14" s="3533" t="s">
        <v>932</v>
      </c>
      <c r="B14" s="3533"/>
      <c r="C14" s="3533"/>
      <c r="D14" s="3533"/>
      <c r="E14" s="3533"/>
      <c r="F14" s="3533"/>
      <c r="G14" s="3533"/>
      <c r="H14" s="3533"/>
      <c r="I14" s="353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80"/>
  <sheetViews>
    <sheetView topLeftCell="A58" workbookViewId="0">
      <selection activeCell="O50" sqref="O50"/>
    </sheetView>
  </sheetViews>
  <sheetFormatPr defaultRowHeight="13.5"/>
  <sheetData>
    <row r="3" spans="13:13">
      <c r="M3" s="3469" t="s">
        <v>3794</v>
      </c>
    </row>
    <row r="4" spans="13:13">
      <c r="M4" s="3469" t="s">
        <v>3792</v>
      </c>
    </row>
    <row r="44" spans="2:2">
      <c r="B44" s="3469" t="s">
        <v>3796</v>
      </c>
    </row>
    <row r="57" spans="13:13">
      <c r="M57" s="3469" t="s">
        <v>3756</v>
      </c>
    </row>
    <row r="80" spans="13:13">
      <c r="M80" s="3469" t="s">
        <v>3793</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5:P62"/>
  <sheetViews>
    <sheetView workbookViewId="0">
      <selection activeCell="O35" sqref="O35"/>
    </sheetView>
  </sheetViews>
  <sheetFormatPr defaultRowHeight="13.5"/>
  <sheetData>
    <row r="35" spans="15:16">
      <c r="O35" s="3469" t="s">
        <v>3761</v>
      </c>
    </row>
    <row r="38" spans="15:16">
      <c r="O38" s="3469" t="s">
        <v>3757</v>
      </c>
    </row>
    <row r="41" spans="15:16">
      <c r="O41">
        <f>0.75-0.05</f>
        <v>0.7</v>
      </c>
      <c r="P41">
        <f>1.5/30</f>
        <v>0.05</v>
      </c>
    </row>
    <row r="42" spans="15:16">
      <c r="O42">
        <f>0.7*(1+5%)</f>
        <v>0.73499999999999999</v>
      </c>
    </row>
    <row r="62" spans="15:15">
      <c r="O62" s="3469" t="s">
        <v>3759</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82"/>
  <sheetViews>
    <sheetView topLeftCell="A67" workbookViewId="0">
      <selection activeCell="Q82" sqref="Q82"/>
    </sheetView>
  </sheetViews>
  <sheetFormatPr defaultRowHeight="13.5"/>
  <sheetData>
    <row r="3" spans="3:3">
      <c r="C3" s="3486" t="s">
        <v>3812</v>
      </c>
    </row>
    <row r="82" spans="2:2">
      <c r="B82" s="3486" t="s">
        <v>3813</v>
      </c>
    </row>
  </sheetData>
  <phoneticPr fontId="134" type="noConversion"/>
  <hyperlinks>
    <hyperlink ref="C3" r:id="rId1"/>
    <hyperlink ref="B82" r:id="rId2"/>
  </hyperlinks>
  <pageMargins left="0.7" right="0.7" top="0.75" bottom="0.75" header="0.3" footer="0.3"/>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32"/>
  <sheetViews>
    <sheetView workbookViewId="0">
      <selection activeCell="N262" sqref="N262"/>
    </sheetView>
  </sheetViews>
  <sheetFormatPr defaultRowHeight="13.5"/>
  <sheetData>
    <row r="2" spans="3:12">
      <c r="C2" s="3486" t="s">
        <v>3722</v>
      </c>
    </row>
    <row r="4" spans="3:12">
      <c r="C4" s="3469" t="s">
        <v>3723</v>
      </c>
      <c r="L4" s="3469" t="s">
        <v>3724</v>
      </c>
    </row>
    <row r="94" spans="2:2">
      <c r="B94" s="3469" t="s">
        <v>3725</v>
      </c>
    </row>
    <row r="149" spans="2:2">
      <c r="B149" s="3486" t="s">
        <v>3785</v>
      </c>
    </row>
    <row r="232" spans="2:2">
      <c r="B232" s="3486" t="s">
        <v>3786</v>
      </c>
    </row>
  </sheetData>
  <phoneticPr fontId="134" type="noConversion"/>
  <hyperlinks>
    <hyperlink ref="C2" r:id="rId1"/>
    <hyperlink ref="B149" r:id="rId2"/>
    <hyperlink ref="B232" r:id="rId3"/>
  </hyperlinks>
  <pageMargins left="0.7" right="0.7" top="0.75" bottom="0.75" header="0.3" footer="0.3"/>
  <pageSetup paperSize="9" orientation="portrait" verticalDpi="0" r:id="rId4"/>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0" sqref="M20"/>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7" t="s">
        <v>949</v>
      </c>
      <c r="B1" s="3547"/>
      <c r="C1" s="3547"/>
      <c r="D1" s="3547"/>
    </row>
    <row r="2" spans="1:4" ht="18">
      <c r="A2" s="3548" t="s">
        <v>933</v>
      </c>
      <c r="B2" s="3548"/>
      <c r="C2" s="3548"/>
      <c r="D2" s="3548"/>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48" t="s">
        <v>939</v>
      </c>
      <c r="B6" s="3548"/>
      <c r="C6" s="3548"/>
      <c r="D6" s="3548"/>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49" t="s">
        <v>942</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6"/>
      <c r="C12" s="3546"/>
      <c r="D12" s="3546"/>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6"/>
      <c r="C13" s="3546"/>
      <c r="D13" s="3546"/>
    </row>
    <row r="14" spans="1:4" ht="15.75" customHeight="1">
      <c r="A14" s="3541" t="str">
        <f>IF(项目基本情况!B8="抵押","4.本次评估估价师所知悉的法定优先受偿款情况说明如下：","——")</f>
        <v>4.本次评估估价师所知悉的法定优先受偿款情况说明如下：</v>
      </c>
      <c r="B14" s="3546"/>
      <c r="C14" s="3546"/>
      <c r="D14" s="3546"/>
    </row>
    <row r="15" spans="1:4" ht="42" customHeight="1">
      <c r="A15" s="3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3" t="s">
        <v>943</v>
      </c>
      <c r="B16" s="3543"/>
      <c r="C16" s="3543"/>
      <c r="D16" s="3543"/>
    </row>
    <row r="17" spans="1:4" ht="144" customHeight="1">
      <c r="A17" s="3543" t="s">
        <v>944</v>
      </c>
      <c r="B17" s="3543"/>
      <c r="C17" s="3543"/>
      <c r="D17" s="3543"/>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1"/>
      <c r="C20" s="3541"/>
      <c r="D20" s="3541"/>
    </row>
    <row r="21" spans="1:4" ht="57.75" customHeight="1">
      <c r="A21" s="3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4"/>
      <c r="C21" s="3544"/>
      <c r="D21" s="3544"/>
    </row>
    <row r="22" spans="1:4" ht="18.75" customHeight="1">
      <c r="A22" s="3545" t="s">
        <v>945</v>
      </c>
      <c r="B22" s="3545"/>
      <c r="C22" s="3545"/>
      <c r="D22" s="354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2">
        <v>42551</v>
      </c>
      <c r="D31" s="35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55" t="s">
        <v>956</v>
      </c>
      <c r="B15" s="3550" t="s">
        <v>109</v>
      </c>
      <c r="C15" s="3551"/>
    </row>
    <row r="16" spans="1:7" ht="13.5">
      <c r="A16" s="3556"/>
      <c r="B16" s="3550" t="s">
        <v>42</v>
      </c>
      <c r="C16" s="3551"/>
    </row>
    <row r="17" spans="1:3" ht="13.5">
      <c r="A17" s="3556"/>
      <c r="B17" s="3553" t="s">
        <v>957</v>
      </c>
      <c r="C17" s="1530" t="s">
        <v>956</v>
      </c>
    </row>
    <row r="18" spans="1:3" ht="13.5">
      <c r="A18" s="3556"/>
      <c r="B18" s="3553"/>
      <c r="C18" s="1530" t="s">
        <v>958</v>
      </c>
    </row>
    <row r="19" spans="1:3" ht="13.5">
      <c r="A19" s="3556"/>
      <c r="B19" s="3553"/>
      <c r="C19" s="1530" t="s">
        <v>959</v>
      </c>
    </row>
    <row r="20" spans="1:3" ht="13.5">
      <c r="A20" s="3557"/>
      <c r="B20" s="3552" t="s">
        <v>960</v>
      </c>
      <c r="C20" s="3551"/>
    </row>
    <row r="21" spans="1:3" ht="13.5">
      <c r="A21" s="1531" t="s">
        <v>961</v>
      </c>
      <c r="B21" s="1532"/>
      <c r="C21" s="1533"/>
    </row>
    <row r="22" spans="1:3" ht="13.5">
      <c r="A22" s="3554" t="s">
        <v>962</v>
      </c>
      <c r="B22" s="3552" t="s">
        <v>963</v>
      </c>
      <c r="C22" s="3551"/>
    </row>
    <row r="23" spans="1:3" ht="13.5">
      <c r="A23" s="3554"/>
      <c r="B23" s="3552" t="s">
        <v>964</v>
      </c>
      <c r="C23" s="3551"/>
    </row>
    <row r="24" spans="1:3" ht="13.5">
      <c r="A24" s="3554"/>
      <c r="B24" s="3552" t="s">
        <v>965</v>
      </c>
      <c r="C24" s="3551"/>
    </row>
    <row r="25" spans="1:3" ht="13.5">
      <c r="A25" s="3554"/>
      <c r="B25" s="3553" t="s">
        <v>966</v>
      </c>
      <c r="C25" s="1530" t="s">
        <v>967</v>
      </c>
    </row>
    <row r="26" spans="1:3" ht="13.5">
      <c r="A26" s="3554"/>
      <c r="B26" s="3553"/>
      <c r="C26" s="1530" t="s">
        <v>968</v>
      </c>
    </row>
    <row r="27" spans="1:3" ht="13.5">
      <c r="A27" s="3554"/>
      <c r="B27" s="3553"/>
      <c r="C27" s="1530" t="s">
        <v>969</v>
      </c>
    </row>
    <row r="28" spans="1:3" ht="13.5">
      <c r="A28" s="3554"/>
      <c r="B28" s="3553"/>
      <c r="C28" s="1530" t="s">
        <v>970</v>
      </c>
    </row>
    <row r="29" spans="1:3" ht="13.5">
      <c r="A29" s="3554"/>
      <c r="B29" s="3553"/>
      <c r="C29" s="1530" t="s">
        <v>971</v>
      </c>
    </row>
    <row r="30" spans="1:3" ht="13.5">
      <c r="A30" s="3554"/>
      <c r="B30" s="3553"/>
      <c r="C30" s="1530" t="s">
        <v>972</v>
      </c>
    </row>
    <row r="31" spans="1:3" ht="13.5">
      <c r="A31" s="3554"/>
      <c r="B31" s="3553"/>
      <c r="C31" s="1530" t="s">
        <v>973</v>
      </c>
    </row>
    <row r="32" spans="1:3" ht="13.5">
      <c r="A32" s="3554"/>
      <c r="B32" s="3553"/>
      <c r="C32" s="1530" t="s">
        <v>974</v>
      </c>
    </row>
    <row r="33" spans="1:3" ht="13.5">
      <c r="A33" s="3554"/>
      <c r="B33" s="355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2135</v>
      </c>
      <c r="B2" s="2336">
        <f ca="1">TODAY()</f>
        <v>45553</v>
      </c>
      <c r="C2" s="2337" t="s">
        <v>2136</v>
      </c>
      <c r="D2" s="2337"/>
      <c r="E2" s="2337"/>
      <c r="F2" s="2333"/>
      <c r="G2" s="2333"/>
      <c r="H2" s="2333"/>
    </row>
    <row r="3" spans="1:8" ht="24" customHeight="1">
      <c r="A3" s="2338" t="s">
        <v>2137</v>
      </c>
      <c r="B3" s="2339" t="s">
        <v>2138</v>
      </c>
      <c r="C3" s="2339" t="s">
        <v>2139</v>
      </c>
      <c r="D3" s="2340" t="s">
        <v>2140</v>
      </c>
      <c r="E3" s="2341" t="s">
        <v>2141</v>
      </c>
      <c r="F3" s="1303" t="s">
        <v>2142</v>
      </c>
      <c r="G3" s="2339" t="s">
        <v>2139</v>
      </c>
      <c r="H3" s="2340" t="s">
        <v>2143</v>
      </c>
    </row>
    <row r="4" spans="1:8" ht="24" customHeight="1">
      <c r="A4" s="1303" t="s">
        <v>2144</v>
      </c>
      <c r="B4" s="1303">
        <f ca="1">IF(C4&lt;B2,"已过期",1119970066)</f>
        <v>1119970066</v>
      </c>
      <c r="C4" s="2342">
        <v>45937</v>
      </c>
      <c r="D4" s="2343" t="str">
        <f ca="1">A4&amp;"（注册号："&amp;B4&amp;"）"</f>
        <v>梁津（注册号：1119970066）</v>
      </c>
      <c r="E4" s="2344" t="s">
        <v>2144</v>
      </c>
      <c r="F4" s="1303">
        <f ca="1">IF(G4&lt;B2,"已过期",96010014)</f>
        <v>96010014</v>
      </c>
      <c r="G4" s="2345">
        <v>47118</v>
      </c>
      <c r="H4" s="2346" t="str">
        <f ca="1">E4&amp;"（注册号："&amp;F4&amp;"）"</f>
        <v>梁津（注册号：96010014）</v>
      </c>
    </row>
    <row r="5" spans="1:8" ht="24" customHeight="1">
      <c r="A5" s="1303" t="s">
        <v>2145</v>
      </c>
      <c r="B5" s="1303">
        <f ca="1">IF(C5&lt;B2,"已过期",1119970111)</f>
        <v>1119970111</v>
      </c>
      <c r="C5" s="2342">
        <v>45937</v>
      </c>
      <c r="D5" s="2343" t="str">
        <f t="shared" ref="D5:D15" ca="1" si="0">A5&amp;"（注册号："&amp;B5&amp;"）"</f>
        <v>叶凌（注册号：1119970111）</v>
      </c>
      <c r="E5" s="2344" t="s">
        <v>2145</v>
      </c>
      <c r="F5" s="1303">
        <f ca="1">IF(G5&lt;B2,"已过期",94010078)</f>
        <v>94010078</v>
      </c>
      <c r="G5" s="2345">
        <v>46387</v>
      </c>
      <c r="H5" s="2346" t="str">
        <f t="shared" ref="H5:H16" ca="1" si="1">E5&amp;"（注册号："&amp;F5&amp;"）"</f>
        <v>叶凌（注册号：94010078）</v>
      </c>
    </row>
    <row r="6" spans="1:8" ht="24" customHeight="1">
      <c r="A6" s="1303" t="s">
        <v>2146</v>
      </c>
      <c r="B6" s="1303" t="str">
        <f ca="1">IF(C6&lt;B2,"已过期",1120050019)</f>
        <v>已过期</v>
      </c>
      <c r="C6" s="2342">
        <v>45410</v>
      </c>
      <c r="D6" s="2343" t="str">
        <f t="shared" ca="1" si="0"/>
        <v>王鹏（注册号：已过期）</v>
      </c>
      <c r="E6" s="2344" t="s">
        <v>2146</v>
      </c>
      <c r="F6" s="1303">
        <f ca="1">IF(G6&lt;B2,"已过期",2002110030)</f>
        <v>2002110030</v>
      </c>
      <c r="G6" s="2345">
        <v>46387</v>
      </c>
      <c r="H6" s="2346" t="str">
        <f t="shared" ca="1" si="1"/>
        <v>王鹏（注册号：2002110030）</v>
      </c>
    </row>
    <row r="7" spans="1:8" ht="24" customHeight="1">
      <c r="A7" s="1303" t="s">
        <v>2147</v>
      </c>
      <c r="B7" s="1303">
        <f ca="1">IF(C7&lt;B2,"已过期",1120000080)</f>
        <v>1120000080</v>
      </c>
      <c r="C7" s="2342">
        <v>45937</v>
      </c>
      <c r="D7" s="2343" t="str">
        <f t="shared" ca="1" si="0"/>
        <v>欧红伟（注册号：1120000080）</v>
      </c>
      <c r="E7" s="2344" t="s">
        <v>2147</v>
      </c>
      <c r="F7" s="1303">
        <f ca="1">IF(G7&lt;B2,"已过期",2000110082)</f>
        <v>2000110082</v>
      </c>
      <c r="G7" s="2345">
        <v>46387</v>
      </c>
      <c r="H7" s="2346" t="str">
        <f t="shared" ca="1" si="1"/>
        <v>欧红伟（注册号：2000110082）</v>
      </c>
    </row>
    <row r="8" spans="1:8" ht="24" customHeight="1">
      <c r="A8" s="1303" t="s">
        <v>2148</v>
      </c>
      <c r="B8" s="1303">
        <f ca="1">IF(C8&lt;B2,"已过期",1419970001)</f>
        <v>1419970001</v>
      </c>
      <c r="C8" s="2342">
        <v>45937</v>
      </c>
      <c r="D8" s="2343" t="str">
        <f t="shared" ca="1" si="0"/>
        <v>吴薇（注册号：1419970001）</v>
      </c>
      <c r="E8" s="2344" t="s">
        <v>2148</v>
      </c>
      <c r="F8" s="1303">
        <f ca="1">IF(G8&lt;B2,"已过期",2002110125)</f>
        <v>2002110125</v>
      </c>
      <c r="G8" s="2345">
        <v>47118</v>
      </c>
      <c r="H8" s="2346" t="str">
        <f t="shared" ca="1" si="1"/>
        <v>吴薇（注册号：2002110125）</v>
      </c>
    </row>
    <row r="9" spans="1:8" ht="24" customHeight="1">
      <c r="A9" s="1303" t="s">
        <v>2149</v>
      </c>
      <c r="B9" s="1303">
        <f ca="1">IF(C9&lt;B2,"已过期",1120060040)</f>
        <v>1120060040</v>
      </c>
      <c r="C9" s="2347">
        <v>45592</v>
      </c>
      <c r="D9" s="2343" t="str">
        <f t="shared" ca="1" si="0"/>
        <v>陈颖（注册号：1120060040）</v>
      </c>
      <c r="E9" s="2344" t="s">
        <v>2149</v>
      </c>
      <c r="F9" s="1303">
        <f ca="1">IF(G9&lt;B2,"已过期",2004110096)</f>
        <v>2004110096</v>
      </c>
      <c r="G9" s="2345">
        <v>47118</v>
      </c>
      <c r="H9" s="2346" t="str">
        <f t="shared" ca="1" si="1"/>
        <v>陈颖（注册号：2004110096）</v>
      </c>
    </row>
    <row r="10" spans="1:8" ht="24" customHeight="1">
      <c r="A10" s="1303" t="s">
        <v>2150</v>
      </c>
      <c r="B10" s="1303">
        <f ca="1">IF(C10&lt;B2,"已过期",1120100036)</f>
        <v>1120100036</v>
      </c>
      <c r="C10" s="2347">
        <v>45752</v>
      </c>
      <c r="D10" s="2343" t="str">
        <f t="shared" ca="1" si="0"/>
        <v>崔锴（注册号：1120100036）</v>
      </c>
      <c r="E10" s="2344" t="s">
        <v>2150</v>
      </c>
      <c r="F10" s="1303">
        <f ca="1">IF(G10&lt;B2,"已过期",2010110070)</f>
        <v>2010110070</v>
      </c>
      <c r="G10" s="2345">
        <v>47907</v>
      </c>
      <c r="H10" s="2346" t="str">
        <f t="shared" ca="1" si="1"/>
        <v>崔锴（注册号：2010110070）</v>
      </c>
    </row>
    <row r="11" spans="1:8" ht="24" customHeight="1">
      <c r="A11" s="1303" t="s">
        <v>2151</v>
      </c>
      <c r="B11" s="1303">
        <f ca="1">IF(C11&lt;B2,"已过期",1120070131)</f>
        <v>1120070131</v>
      </c>
      <c r="C11" s="2342">
        <v>45937</v>
      </c>
      <c r="D11" s="2343" t="str">
        <f t="shared" ca="1" si="0"/>
        <v>郑燚（注册号：1120070131）</v>
      </c>
      <c r="E11" s="2344" t="s">
        <v>2151</v>
      </c>
      <c r="F11" s="1303">
        <f ca="1">IF(G11&lt;B2,"已过期",2014110011)</f>
        <v>2014110011</v>
      </c>
      <c r="G11" s="2345">
        <v>49302</v>
      </c>
      <c r="H11" s="2346" t="str">
        <f t="shared" ca="1" si="1"/>
        <v>郑燚（注册号：2014110011）</v>
      </c>
    </row>
    <row r="12" spans="1:8" ht="24" customHeight="1">
      <c r="A12" s="1303" t="s">
        <v>2152</v>
      </c>
      <c r="B12" s="1303">
        <f ca="1">IF(C12&lt;B2,"已过期",1120040230)</f>
        <v>1120040230</v>
      </c>
      <c r="C12" s="2347">
        <v>45937</v>
      </c>
      <c r="D12" s="2343" t="str">
        <f t="shared" ca="1" si="0"/>
        <v>苏海（注册号：1120040230）</v>
      </c>
      <c r="E12" s="2344" t="s">
        <v>2152</v>
      </c>
      <c r="F12" s="1303">
        <f ca="1">IF(G12&lt;B2,"已过期",98030020)</f>
        <v>98030020</v>
      </c>
      <c r="G12" s="2345">
        <v>47118</v>
      </c>
      <c r="H12" s="2346" t="str">
        <f t="shared" ca="1" si="1"/>
        <v>苏海（注册号：98030020）</v>
      </c>
    </row>
    <row r="13" spans="1:8" ht="24" customHeight="1">
      <c r="A13" s="1303" t="s">
        <v>2153</v>
      </c>
      <c r="B13" s="1303" t="str">
        <f ca="1">IF(C13&lt;B2,"已过期",1120020033)</f>
        <v>已过期</v>
      </c>
      <c r="C13" s="2342">
        <v>45375</v>
      </c>
      <c r="D13" s="2343" t="str">
        <f t="shared" ca="1" si="0"/>
        <v>刘敬东（注册号：已过期）</v>
      </c>
      <c r="E13" s="2344" t="s">
        <v>2153</v>
      </c>
      <c r="F13" s="1303">
        <f ca="1">IF(G13&lt;B2,"已过期",2000110137)</f>
        <v>2000110137</v>
      </c>
      <c r="G13" s="2345">
        <v>46387</v>
      </c>
      <c r="H13" s="2346" t="str">
        <f t="shared" ca="1" si="1"/>
        <v>刘敬东（注册号：2000110137）</v>
      </c>
    </row>
    <row r="14" spans="1:8" ht="24" customHeight="1">
      <c r="A14" s="1303" t="s">
        <v>2154</v>
      </c>
      <c r="B14" s="1303" t="str">
        <f ca="1">IF(C14&lt;B2,"已过期",1119980106)</f>
        <v>已过期</v>
      </c>
      <c r="C14" s="2347">
        <v>44969</v>
      </c>
      <c r="D14" s="2343" t="str">
        <f t="shared" ca="1" si="0"/>
        <v>刘俊财（注册号：已过期）</v>
      </c>
      <c r="E14" s="2344" t="s">
        <v>2154</v>
      </c>
      <c r="F14" s="1303">
        <f ca="1">IF(G14&lt;B2,"已过期",96010063)</f>
        <v>96010063</v>
      </c>
      <c r="G14" s="2345">
        <v>47483</v>
      </c>
      <c r="H14" s="2346" t="str">
        <f t="shared" ca="1" si="1"/>
        <v>刘俊财（注册号：96010063）</v>
      </c>
    </row>
    <row r="15" spans="1:8" ht="24" customHeight="1">
      <c r="A15" s="1303" t="s">
        <v>2435</v>
      </c>
      <c r="B15" s="1303">
        <v>1120210056</v>
      </c>
      <c r="C15" s="2347">
        <v>45410</v>
      </c>
      <c r="D15" s="2343" t="str">
        <f t="shared" si="0"/>
        <v>宁小鳗（注册号：1120210056）</v>
      </c>
      <c r="E15" s="2344" t="s">
        <v>2155</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58" t="s">
        <v>2156</v>
      </c>
      <c r="B17" s="3558"/>
      <c r="C17" s="3558"/>
      <c r="D17" s="3558"/>
      <c r="E17" s="3558"/>
      <c r="F17" s="3558"/>
      <c r="G17" s="3558"/>
      <c r="H17" s="3558"/>
    </row>
    <row r="18" spans="1:8" ht="24" customHeight="1">
      <c r="A18" s="3559" t="s">
        <v>2157</v>
      </c>
      <c r="B18" s="3559"/>
      <c r="C18" s="3559"/>
      <c r="D18" s="2340"/>
      <c r="E18" s="3560" t="s">
        <v>2158</v>
      </c>
      <c r="F18" s="3559"/>
      <c r="G18" s="3559"/>
    </row>
    <row r="19" spans="1:8" s="2351" customFormat="1" ht="24" customHeight="1">
      <c r="A19" s="2350" t="s">
        <v>2159</v>
      </c>
      <c r="B19" s="2339" t="s">
        <v>2160</v>
      </c>
      <c r="C19" s="2339" t="s">
        <v>2139</v>
      </c>
      <c r="D19" s="2340"/>
      <c r="E19" s="2344" t="s">
        <v>2159</v>
      </c>
      <c r="F19" s="2339" t="s">
        <v>2160</v>
      </c>
      <c r="G19" s="2339" t="s">
        <v>2139</v>
      </c>
    </row>
    <row r="20" spans="1:8" s="2351" customFormat="1" ht="24" customHeight="1">
      <c r="A20" s="2352" t="s">
        <v>2161</v>
      </c>
      <c r="B20" s="2352" t="s">
        <v>2162</v>
      </c>
      <c r="C20" s="2345">
        <v>45898</v>
      </c>
      <c r="D20" s="2353"/>
      <c r="E20" s="2354" t="s">
        <v>2163</v>
      </c>
      <c r="F20" s="2357" t="s">
        <v>2436</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152</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计算过程</vt:lpstr>
      <vt:lpstr>部分租赁合同</vt:lpstr>
      <vt:lpstr>造价构成分析</vt:lpstr>
      <vt:lpstr>系统读取表</vt:lpstr>
      <vt:lpstr>结果表</vt:lpstr>
      <vt:lpstr>成本法</vt:lpstr>
      <vt:lpstr>成本法 (元)</vt:lpstr>
      <vt:lpstr>假设开发法</vt:lpstr>
      <vt:lpstr>土地比较法-住宅、综合</vt:lpstr>
      <vt:lpstr>土地比较法-工业</vt:lpstr>
      <vt:lpstr>土地案例</vt:lpstr>
      <vt:lpstr>收益法</vt:lpstr>
      <vt:lpstr>收益法 (元)</vt:lpstr>
      <vt:lpstr>收益法-酒店模型</vt:lpstr>
      <vt:lpstr>收益法（汇总）</vt:lpstr>
      <vt:lpstr>比较法-住宅</vt:lpstr>
      <vt:lpstr>比较法-商业</vt:lpstr>
      <vt:lpstr>比较法-工业</vt:lpstr>
      <vt:lpstr>比较法-办公</vt:lpstr>
      <vt:lpstr>比较法-车位</vt:lpstr>
      <vt:lpstr>比较法-仓储</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仓库</vt:lpstr>
      <vt:lpstr>办公</vt:lpstr>
      <vt:lpstr>城市基础设施建设费</vt:lpstr>
      <vt:lpstr>Sheet6</vt:lpstr>
      <vt:lpstr>天津基准地价修正体系</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2024-09-18T07:57:30Z</dcterms:modified>
</cp:coreProperties>
</file>