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7"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办公）" sheetId="70" r:id="rId30"/>
    <sheet name="不动产收益法（商业）" sheetId="71" r:id="rId31"/>
    <sheet name="不动产收益法（车库）"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 sheetId="68" r:id="rId43"/>
    <sheet name="租金核算" sheetId="69" r:id="rId44"/>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N15" i="1" l="1"/>
  <c r="G21" i="6"/>
  <c r="G20" i="6"/>
  <c r="F20" i="6"/>
  <c r="F19" i="6"/>
  <c r="AT13" i="3"/>
  <c r="AN13" i="3"/>
  <c r="O13" i="3"/>
  <c r="C7" i="69" l="1"/>
  <c r="C6" i="69"/>
  <c r="Q73" i="71"/>
  <c r="F61" i="71"/>
  <c r="Q60" i="71"/>
  <c r="D60" i="71"/>
  <c r="Q59" i="71"/>
  <c r="K59" i="71"/>
  <c r="F59" i="71"/>
  <c r="F58" i="71"/>
  <c r="Q52" i="71"/>
  <c r="J50" i="71"/>
  <c r="M47" i="71"/>
  <c r="F34" i="71"/>
  <c r="F33" i="71"/>
  <c r="F60" i="71" s="1"/>
  <c r="F32" i="71"/>
  <c r="F31" i="71"/>
  <c r="F28" i="71"/>
  <c r="C28" i="71" s="1"/>
  <c r="F23" i="71"/>
  <c r="F21" i="71"/>
  <c r="M20" i="71"/>
  <c r="F20" i="71"/>
  <c r="M19" i="71"/>
  <c r="M18" i="71"/>
  <c r="F18" i="71"/>
  <c r="M17" i="71"/>
  <c r="F17" i="71"/>
  <c r="F15" i="71"/>
  <c r="G1" i="71"/>
  <c r="Q73" i="70"/>
  <c r="Q60" i="70"/>
  <c r="D60" i="70"/>
  <c r="Q59" i="70"/>
  <c r="K59" i="70"/>
  <c r="P75" i="70" s="1"/>
  <c r="F58" i="70"/>
  <c r="Q52" i="70"/>
  <c r="J50" i="70"/>
  <c r="M47" i="70"/>
  <c r="F34" i="70"/>
  <c r="F61" i="70" s="1"/>
  <c r="F33" i="70"/>
  <c r="F60" i="70" s="1"/>
  <c r="F32" i="70"/>
  <c r="F59" i="70" s="1"/>
  <c r="F31" i="70"/>
  <c r="F28" i="70"/>
  <c r="C28" i="70"/>
  <c r="F23" i="70"/>
  <c r="D24" i="70" s="1"/>
  <c r="D23" i="70"/>
  <c r="D22" i="70"/>
  <c r="F21" i="70"/>
  <c r="M20" i="70"/>
  <c r="F20" i="70"/>
  <c r="M19" i="70"/>
  <c r="M18" i="70"/>
  <c r="F18" i="70"/>
  <c r="M17" i="70"/>
  <c r="F17" i="70"/>
  <c r="F15" i="70"/>
  <c r="G1" i="70"/>
  <c r="I40" i="39"/>
  <c r="G40" i="39"/>
  <c r="E40" i="39"/>
  <c r="I48" i="39"/>
  <c r="G48" i="39"/>
  <c r="E48" i="39"/>
  <c r="I13" i="39"/>
  <c r="G13" i="39"/>
  <c r="E13" i="39"/>
  <c r="O70" i="39"/>
  <c r="P70" i="39" s="1"/>
  <c r="I9" i="39"/>
  <c r="G9" i="39"/>
  <c r="E9" i="39"/>
  <c r="I7" i="39"/>
  <c r="G7" i="39"/>
  <c r="E7" i="39"/>
  <c r="F9" i="70"/>
  <c r="F8" i="70"/>
  <c r="L47" i="70"/>
  <c r="P62" i="70" l="1"/>
  <c r="D23" i="71"/>
  <c r="D22" i="71"/>
  <c r="D24" i="71"/>
  <c r="P75" i="71"/>
  <c r="P62" i="71"/>
  <c r="J51" i="71"/>
  <c r="F50" i="70"/>
  <c r="J51" i="70"/>
  <c r="L59" i="70" s="1"/>
  <c r="Q70" i="39"/>
  <c r="P72" i="39"/>
  <c r="O72" i="39"/>
  <c r="F42" i="71"/>
  <c r="F16" i="71"/>
  <c r="F37" i="71"/>
  <c r="M23" i="70"/>
  <c r="M9" i="71"/>
  <c r="F40" i="71"/>
  <c r="F16" i="70"/>
  <c r="J36" i="70"/>
  <c r="M28" i="70"/>
  <c r="M22" i="71"/>
  <c r="L48" i="71"/>
  <c r="F26" i="71"/>
  <c r="F36" i="71"/>
  <c r="F13" i="71"/>
  <c r="F6" i="71"/>
  <c r="J36" i="71"/>
  <c r="M6" i="70"/>
  <c r="F6" i="70"/>
  <c r="M28" i="71"/>
  <c r="M8" i="71"/>
  <c r="L47" i="71"/>
  <c r="M6" i="71"/>
  <c r="M27" i="71"/>
  <c r="F26" i="70"/>
  <c r="M9" i="70"/>
  <c r="M26" i="70"/>
  <c r="M22" i="70"/>
  <c r="F13" i="70"/>
  <c r="F42" i="70"/>
  <c r="F37" i="70"/>
  <c r="J15" i="70"/>
  <c r="J15" i="71"/>
  <c r="F38" i="71"/>
  <c r="F8" i="71"/>
  <c r="M23" i="71"/>
  <c r="M8" i="70"/>
  <c r="M27" i="70"/>
  <c r="F9" i="71"/>
  <c r="M24" i="71"/>
  <c r="M26" i="71"/>
  <c r="L48" i="70"/>
  <c r="F40" i="70"/>
  <c r="F36" i="70"/>
  <c r="F38" i="70"/>
  <c r="M24" i="70"/>
  <c r="J53" i="71" l="1"/>
  <c r="Q53" i="71" s="1"/>
  <c r="J53" i="70"/>
  <c r="F1" i="70" s="1"/>
  <c r="F67" i="71"/>
  <c r="Q72" i="71"/>
  <c r="F64" i="71"/>
  <c r="F50" i="71"/>
  <c r="F63" i="71"/>
  <c r="L59" i="71"/>
  <c r="L58" i="71"/>
  <c r="F65" i="71"/>
  <c r="C27" i="71"/>
  <c r="L56" i="71"/>
  <c r="J60" i="71"/>
  <c r="Q49" i="71" s="1"/>
  <c r="J59" i="71"/>
  <c r="I54" i="71"/>
  <c r="J57" i="71"/>
  <c r="J55" i="71" s="1"/>
  <c r="J58" i="71" s="1"/>
  <c r="Q51" i="71" s="1"/>
  <c r="Q72" i="70"/>
  <c r="F63" i="70"/>
  <c r="F67" i="70"/>
  <c r="F64" i="70"/>
  <c r="L56" i="70"/>
  <c r="J60" i="70"/>
  <c r="Q49" i="70" s="1"/>
  <c r="L58" i="70"/>
  <c r="J59" i="70"/>
  <c r="F65" i="70"/>
  <c r="C27" i="70"/>
  <c r="J57" i="70"/>
  <c r="J55" i="70" s="1"/>
  <c r="J58" i="70" s="1"/>
  <c r="Q51" i="70" s="1"/>
  <c r="I54" i="70"/>
  <c r="Q75" i="70"/>
  <c r="Q62" i="70"/>
  <c r="R70" i="39"/>
  <c r="Q72" i="39"/>
  <c r="Q53" i="70" l="1"/>
  <c r="F1" i="71"/>
  <c r="Q61" i="71"/>
  <c r="Q74" i="71"/>
  <c r="Q75" i="71"/>
  <c r="Q62" i="71"/>
  <c r="Q61" i="70"/>
  <c r="Q74" i="70"/>
  <c r="S70" i="39"/>
  <c r="S72" i="39" s="1"/>
  <c r="R72" i="39"/>
  <c r="C8" i="69" l="1"/>
  <c r="C5" i="69"/>
  <c r="C4" i="69"/>
  <c r="C3" i="69"/>
  <c r="B2" i="69" l="1"/>
  <c r="D2" i="69" s="1"/>
  <c r="G17" i="4"/>
  <c r="E59" i="39" l="1"/>
  <c r="B8" i="69"/>
  <c r="D8" i="69" s="1"/>
  <c r="B3" i="69"/>
  <c r="D3" i="69" s="1"/>
  <c r="D3" i="4"/>
  <c r="B4" i="69" l="1"/>
  <c r="B5" i="69" s="1"/>
  <c r="D4" i="69"/>
  <c r="J4" i="59"/>
  <c r="K4" i="59"/>
  <c r="L4" i="59"/>
  <c r="I4" i="59"/>
  <c r="D5" i="69" l="1"/>
  <c r="B6" i="69"/>
  <c r="Q4" i="59"/>
  <c r="F4" i="59" s="1"/>
  <c r="P4" i="59"/>
  <c r="E4" i="59" s="1"/>
  <c r="O4" i="59"/>
  <c r="C4" i="59" s="1"/>
  <c r="D4" i="59" s="1"/>
  <c r="N4" i="59"/>
  <c r="B4" i="59" s="1"/>
  <c r="B7" i="69" l="1"/>
  <c r="D7" i="69" s="1"/>
  <c r="D6" i="69"/>
  <c r="B9" i="69"/>
  <c r="I5" i="59"/>
  <c r="L5" i="59"/>
  <c r="K5" i="59"/>
  <c r="J5" i="59"/>
  <c r="D9" i="69" l="1"/>
  <c r="C10" i="69" s="1"/>
  <c r="N5" i="59"/>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B12" i="67"/>
  <c r="F11" i="67"/>
  <c r="E9" i="67"/>
  <c r="F14" i="67"/>
  <c r="B14" i="67"/>
  <c r="B8" i="67"/>
  <c r="F9" i="67"/>
  <c r="B11" i="67"/>
  <c r="B9" i="67"/>
  <c r="B13" i="67"/>
  <c r="E11" i="67"/>
  <c r="E8" i="67"/>
  <c r="E13" i="67"/>
  <c r="E14" i="67"/>
  <c r="F8" i="67"/>
  <c r="E10" i="67"/>
  <c r="F10" i="67"/>
  <c r="F12" i="67"/>
  <c r="E12" i="67"/>
  <c r="F13" i="67"/>
  <c r="B10"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4" i="65"/>
  <c r="I7" i="65"/>
  <c r="J4" i="65"/>
  <c r="I3" i="65"/>
  <c r="J5" i="65"/>
  <c r="J3" i="65"/>
  <c r="N5" i="65"/>
  <c r="N3" i="65"/>
  <c r="I4" i="65"/>
  <c r="N6" i="65"/>
  <c r="I5" i="65"/>
  <c r="J6" i="65"/>
  <c r="J7" i="65"/>
  <c r="I6" i="65"/>
  <c r="E20" i="46" l="1"/>
  <c r="J1" i="65"/>
  <c r="C4" i="65"/>
  <c r="B39" i="1" s="1"/>
  <c r="E3" i="65"/>
  <c r="F11" i="71" l="1"/>
  <c r="M11" i="71"/>
  <c r="J10" i="71" s="1"/>
  <c r="M11" i="70"/>
  <c r="J10" i="70" s="1"/>
  <c r="F11" i="70"/>
  <c r="F17" i="11"/>
  <c r="M5" i="54"/>
  <c r="A23" i="51"/>
  <c r="C52" i="71" l="1"/>
  <c r="C52"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C20" i="43"/>
  <c r="F43" i="71"/>
  <c r="F7" i="71"/>
  <c r="M29" i="71"/>
  <c r="E2" i="65"/>
  <c r="E9" i="12" l="1"/>
  <c r="C9" i="12"/>
  <c r="G13" i="3"/>
  <c r="M7" i="71"/>
  <c r="J6" i="71" s="1"/>
  <c r="J5" i="71" s="1"/>
  <c r="C6" i="71"/>
  <c r="F49" i="71"/>
  <c r="C48" i="71" s="1"/>
  <c r="C47" i="71" s="1"/>
  <c r="C10" i="71"/>
  <c r="C5" i="71" s="1"/>
  <c r="F70" i="71"/>
  <c r="M7" i="1"/>
  <c r="A30" i="64"/>
  <c r="A30" i="51"/>
  <c r="W27" i="39"/>
  <c r="AB25" i="39"/>
  <c r="W43" i="39"/>
  <c r="AC33" i="39"/>
  <c r="AB29" i="39"/>
  <c r="F95" i="39"/>
  <c r="G95" i="39" s="1"/>
  <c r="H21" i="39"/>
  <c r="F21" i="39"/>
  <c r="S21" i="39" s="1"/>
  <c r="J21" i="39"/>
  <c r="W21" i="39" s="1"/>
  <c r="AA19" i="39"/>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9" i="70"/>
  <c r="F7" i="70"/>
  <c r="F16" i="15"/>
  <c r="M11" i="44"/>
  <c r="L49" i="44"/>
  <c r="F11" i="44"/>
  <c r="M8" i="15"/>
  <c r="J15" i="15"/>
  <c r="F43" i="44"/>
  <c r="M8" i="44"/>
  <c r="L48" i="44"/>
  <c r="F8" i="44"/>
  <c r="F28" i="44"/>
  <c r="M26" i="15"/>
  <c r="F42" i="15"/>
  <c r="F39" i="44"/>
  <c r="F9" i="44"/>
  <c r="F13" i="15"/>
  <c r="F40" i="44"/>
  <c r="M26" i="44"/>
  <c r="M31" i="44"/>
  <c r="F6" i="15"/>
  <c r="M9" i="15"/>
  <c r="F7" i="15"/>
  <c r="M27" i="15"/>
  <c r="F43" i="70"/>
  <c r="C16" i="71"/>
  <c r="F15" i="44"/>
  <c r="F38" i="44"/>
  <c r="F38" i="15"/>
  <c r="F8" i="15"/>
  <c r="M6" i="15"/>
  <c r="L48" i="15"/>
  <c r="M22" i="15"/>
  <c r="F37" i="15"/>
  <c r="F36" i="15"/>
  <c r="F40" i="15"/>
  <c r="J17" i="44"/>
  <c r="F10" i="44"/>
  <c r="M23" i="15"/>
  <c r="M28" i="44"/>
  <c r="M29" i="44"/>
  <c r="M30" i="44"/>
  <c r="L47" i="15"/>
  <c r="M24" i="15"/>
  <c r="M28" i="15"/>
  <c r="F26" i="15"/>
  <c r="F45" i="44"/>
  <c r="J36" i="15"/>
  <c r="M10" i="44"/>
  <c r="M25" i="44"/>
  <c r="M29" i="15"/>
  <c r="F43" i="15"/>
  <c r="M24" i="44"/>
  <c r="F9" i="15"/>
  <c r="F18" i="44"/>
  <c r="M7" i="70" l="1"/>
  <c r="J6" i="70" s="1"/>
  <c r="J5" i="70" s="1"/>
  <c r="F49" i="70"/>
  <c r="C48" i="70" s="1"/>
  <c r="C47" i="70" s="1"/>
  <c r="C6" i="70"/>
  <c r="C10" i="70"/>
  <c r="F70" i="70"/>
  <c r="O7" i="1"/>
  <c r="P7" i="1" s="1"/>
  <c r="C38" i="71"/>
  <c r="C32" i="71"/>
  <c r="M6" i="1"/>
  <c r="C59" i="71"/>
  <c r="C65" i="71"/>
  <c r="J26" i="71"/>
  <c r="J18" i="71"/>
  <c r="J24" i="71"/>
  <c r="F24" i="70"/>
  <c r="F24" i="71"/>
  <c r="C24" i="70"/>
  <c r="U21" i="39"/>
  <c r="AB21" i="39"/>
  <c r="AC21" i="39"/>
  <c r="C16" i="46"/>
  <c r="C5" i="46" s="1"/>
  <c r="T8" i="46" s="1"/>
  <c r="V8" i="46" s="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0" i="46"/>
  <c r="V10" i="46" s="1"/>
  <c r="T14" i="46"/>
  <c r="V14"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F33" i="44"/>
  <c r="M19" i="44"/>
  <c r="F58" i="15"/>
  <c r="F31" i="15"/>
  <c r="M17" i="15"/>
  <c r="C16" i="70"/>
  <c r="C18" i="44"/>
  <c r="AE8" i="1"/>
  <c r="F46" i="44"/>
  <c r="AE7" i="1"/>
  <c r="C16" i="15"/>
  <c r="AE6" i="1"/>
  <c r="F41" i="15"/>
  <c r="C5" i="70" l="1"/>
  <c r="C38" i="70" s="1"/>
  <c r="C59" i="70"/>
  <c r="C65" i="70"/>
  <c r="C15" i="43"/>
  <c r="J24" i="70"/>
  <c r="J26" i="70"/>
  <c r="J18" i="70"/>
  <c r="C24" i="71"/>
  <c r="K104" i="46"/>
  <c r="K105" i="46"/>
  <c r="F107" i="46"/>
  <c r="C105" i="46"/>
  <c r="J109" i="46"/>
  <c r="J105" i="46"/>
  <c r="K107" i="46"/>
  <c r="F103" i="46"/>
  <c r="F106" i="46"/>
  <c r="C107" i="46"/>
  <c r="C104" i="46"/>
  <c r="J107" i="46"/>
  <c r="C39" i="46"/>
  <c r="G39" i="46" s="1"/>
  <c r="I39" i="46" s="1"/>
  <c r="C38" i="46"/>
  <c r="G38" i="46" s="1"/>
  <c r="I38" i="46" s="1"/>
  <c r="T13" i="46"/>
  <c r="V13" i="46" s="1"/>
  <c r="T9" i="46"/>
  <c r="V9" i="46" s="1"/>
  <c r="T16" i="46"/>
  <c r="V16" i="46" s="1"/>
  <c r="T12" i="46"/>
  <c r="V12" i="46"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41" i="71"/>
  <c r="F41" i="70"/>
  <c r="L52" i="44"/>
  <c r="C32" i="70" l="1"/>
  <c r="F68" i="70"/>
  <c r="J29" i="70"/>
  <c r="F68" i="71"/>
  <c r="J29" i="71"/>
  <c r="E38" i="46"/>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71"/>
  <c r="E7" i="67"/>
  <c r="C17" i="70"/>
  <c r="F7" i="67"/>
  <c r="C19" i="44"/>
  <c r="C17" i="15"/>
  <c r="E4" i="67" l="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71"/>
  <c r="C15" i="71" l="1"/>
  <c r="C18" i="71"/>
  <c r="H40" i="39"/>
  <c r="F40" i="39"/>
  <c r="J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C14" i="70"/>
  <c r="C16" i="44"/>
  <c r="C19" i="71" l="1"/>
  <c r="C15" i="70"/>
  <c r="C18" i="70"/>
  <c r="AA40" i="39"/>
  <c r="S40" i="39"/>
  <c r="AC40" i="39"/>
  <c r="W40" i="39"/>
  <c r="AB40" i="39"/>
  <c r="U40" i="39"/>
  <c r="L57" i="70"/>
  <c r="L60" i="70" s="1"/>
  <c r="L46" i="70"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1"/>
  <c r="M21" i="70"/>
  <c r="M23" i="44"/>
  <c r="M21" i="15"/>
  <c r="F35" i="70"/>
  <c r="F37" i="44"/>
  <c r="M21" i="71"/>
  <c r="F35" i="15"/>
  <c r="C19" i="70" l="1"/>
  <c r="C20" i="71"/>
  <c r="C26" i="71" s="1"/>
  <c r="C20" i="70"/>
  <c r="C26" i="70" s="1"/>
  <c r="C34" i="70"/>
  <c r="F62" i="70"/>
  <c r="C61" i="70" s="1"/>
  <c r="J20" i="70"/>
  <c r="J20" i="71"/>
  <c r="F62" i="71"/>
  <c r="C61" i="71" s="1"/>
  <c r="C34" i="71"/>
  <c r="L57" i="71"/>
  <c r="L60" i="71" s="1"/>
  <c r="L46" i="71" s="1"/>
  <c r="Q67" i="70"/>
  <c r="Q58" i="70"/>
  <c r="C21" i="44"/>
  <c r="C22" i="44" s="1"/>
  <c r="C25" i="44" s="1"/>
  <c r="C19" i="15"/>
  <c r="C20" i="15" s="1"/>
  <c r="C23" i="15" s="1"/>
  <c r="J20" i="15"/>
  <c r="C36" i="44"/>
  <c r="C34" i="15"/>
  <c r="F62" i="15"/>
  <c r="C61" i="15" s="1"/>
  <c r="J22" i="44"/>
  <c r="C18" i="12"/>
  <c r="R16" i="1"/>
  <c r="D31" i="6"/>
  <c r="I6" i="6" s="1"/>
  <c r="C13" i="39" s="1"/>
  <c r="R27" i="6"/>
  <c r="C18" i="43"/>
  <c r="K70" i="39"/>
  <c r="J72" i="39"/>
  <c r="K65" i="40"/>
  <c r="J67" i="40"/>
  <c r="C65" i="15"/>
  <c r="C59" i="15"/>
  <c r="C23" i="71" l="1"/>
  <c r="C29" i="71" s="1"/>
  <c r="C56" i="71" s="1"/>
  <c r="C23" i="70"/>
  <c r="C29" i="70" s="1"/>
  <c r="J19" i="70" s="1"/>
  <c r="J17" i="70" s="1"/>
  <c r="H13" i="39"/>
  <c r="J13" i="39"/>
  <c r="F13" i="39"/>
  <c r="Q67" i="71"/>
  <c r="Q58" i="71"/>
  <c r="C28" i="44"/>
  <c r="C31" i="44" s="1"/>
  <c r="C35" i="44" s="1"/>
  <c r="I5" i="6"/>
  <c r="C26" i="15"/>
  <c r="C29" i="15" s="1"/>
  <c r="J59" i="15" s="1"/>
  <c r="J60" i="15" s="1"/>
  <c r="Q49" i="15" s="1"/>
  <c r="C23" i="12"/>
  <c r="C19" i="43"/>
  <c r="C22" i="43" s="1"/>
  <c r="C21" i="43" s="1"/>
  <c r="K67" i="40"/>
  <c r="L65" i="40"/>
  <c r="K72" i="39"/>
  <c r="L70" i="39"/>
  <c r="C36" i="71" l="1"/>
  <c r="C60" i="71"/>
  <c r="C58" i="71" s="1"/>
  <c r="C63" i="71"/>
  <c r="J14" i="70"/>
  <c r="J22" i="70" s="1"/>
  <c r="C13" i="71"/>
  <c r="J19" i="71"/>
  <c r="J17" i="71" s="1"/>
  <c r="J14" i="71"/>
  <c r="Q50" i="71"/>
  <c r="C33" i="71"/>
  <c r="C31" i="71" s="1"/>
  <c r="Q50" i="70"/>
  <c r="C56" i="70"/>
  <c r="C63" i="70" s="1"/>
  <c r="C33" i="70"/>
  <c r="C31" i="70" s="1"/>
  <c r="C13" i="70"/>
  <c r="Q71" i="70" s="1"/>
  <c r="C36" i="70"/>
  <c r="C60" i="70"/>
  <c r="C58" i="70" s="1"/>
  <c r="AC13" i="39"/>
  <c r="W13" i="39"/>
  <c r="S13" i="39"/>
  <c r="AA13" i="39"/>
  <c r="AB13" i="39"/>
  <c r="U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55" i="70" l="1"/>
  <c r="C64" i="70" s="1"/>
  <c r="J35" i="70"/>
  <c r="J13" i="70"/>
  <c r="J23" i="70" s="1"/>
  <c r="J16" i="70" s="1"/>
  <c r="J25" i="70" s="1"/>
  <c r="C37" i="70"/>
  <c r="C30" i="70" s="1"/>
  <c r="C39" i="70" s="1"/>
  <c r="J22" i="71"/>
  <c r="J13" i="71"/>
  <c r="J23" i="71" s="1"/>
  <c r="Q71" i="71"/>
  <c r="C37" i="71"/>
  <c r="C30" i="71" s="1"/>
  <c r="C39" i="71" s="1"/>
  <c r="Q70" i="71" s="1"/>
  <c r="J35" i="71"/>
  <c r="C55" i="71"/>
  <c r="C64" i="71" s="1"/>
  <c r="C57" i="71" s="1"/>
  <c r="C66" i="71" s="1"/>
  <c r="C67" i="71" s="1"/>
  <c r="C70" i="71" s="1"/>
  <c r="C57" i="70"/>
  <c r="C66" i="70" s="1"/>
  <c r="C67" i="70" s="1"/>
  <c r="C70" i="70" s="1"/>
  <c r="C40" i="7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1"/>
  <c r="L51" i="70"/>
  <c r="C40" i="70" l="1"/>
  <c r="Q57" i="70" s="1"/>
  <c r="Q63" i="70" s="1"/>
  <c r="J39" i="70"/>
  <c r="J40" i="70" s="1"/>
  <c r="Q70" i="70"/>
  <c r="Q69" i="70" s="1"/>
  <c r="Q69" i="71"/>
  <c r="Q68" i="70"/>
  <c r="J39" i="71"/>
  <c r="J40" i="71" s="1"/>
  <c r="J16" i="71"/>
  <c r="J25" i="71" s="1"/>
  <c r="Q68" i="71"/>
  <c r="B2" i="71"/>
  <c r="C46" i="71"/>
  <c r="C43" i="71"/>
  <c r="Q48" i="71"/>
  <c r="Q54" i="71" s="1"/>
  <c r="Q57" i="71"/>
  <c r="Q63" i="71" s="1"/>
  <c r="Q66" i="71"/>
  <c r="Q76" i="71" s="1"/>
  <c r="J42" i="71"/>
  <c r="J43"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6" i="70" l="1"/>
  <c r="Q48" i="70"/>
  <c r="Q54" i="70" s="1"/>
  <c r="Q66" i="70"/>
  <c r="Q76" i="70" s="1"/>
  <c r="B2" i="70"/>
  <c r="C10" i="12" s="1"/>
  <c r="C43" i="70"/>
  <c r="J42" i="70"/>
  <c r="J43" i="70" s="1"/>
  <c r="D10" i="12"/>
  <c r="B3" i="71"/>
  <c r="D8" i="1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0" l="1"/>
  <c r="C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C45" i="9"/>
  <c r="H14" i="66" s="1"/>
  <c r="B7" i="66" s="1"/>
  <c r="D19" i="9"/>
  <c r="L44" i="9" l="1"/>
  <c r="D22" i="9"/>
  <c r="G19" i="9"/>
  <c r="B3" i="12"/>
  <c r="B4" i="12"/>
  <c r="B5" i="12"/>
  <c r="D7" i="66"/>
  <c r="C7" i="66"/>
  <c r="D20" i="9"/>
  <c r="D21" i="9"/>
  <c r="G21" i="9" l="1"/>
  <c r="G20" i="9"/>
  <c r="C32" i="9"/>
  <c r="G22" i="9"/>
  <c r="N43" i="9"/>
  <c r="D45" i="9"/>
  <c r="E45" i="9"/>
  <c r="O40" i="9"/>
  <c r="F45" i="9"/>
  <c r="O38" i="9" l="1"/>
  <c r="C33" i="9"/>
  <c r="C35" i="9"/>
  <c r="F42" i="9" s="1"/>
  <c r="C42" i="9"/>
  <c r="C34" i="9"/>
  <c r="O43" i="9"/>
  <c r="K31" i="9"/>
  <c r="K32" i="9" s="1"/>
  <c r="R7" i="54"/>
  <c r="B52" i="63" s="1"/>
  <c r="D14" i="66" l="1"/>
  <c r="N68" i="9"/>
  <c r="C44" i="9"/>
  <c r="R5" i="54"/>
  <c r="B48" i="63" s="1"/>
  <c r="D63" i="9"/>
  <c r="N38" i="9"/>
  <c r="K28" i="9" s="1"/>
  <c r="D42" i="9"/>
  <c r="Q5" i="54" s="1"/>
  <c r="B47" i="63" s="1"/>
  <c r="M38" i="9"/>
  <c r="K27" i="9" s="1"/>
  <c r="E42" i="9"/>
  <c r="P5" i="54" s="1"/>
  <c r="B46" i="63" s="1"/>
  <c r="K25" i="9"/>
  <c r="K26" i="9"/>
  <c r="C111" i="9" l="1"/>
  <c r="C104" i="9" s="1"/>
  <c r="C96" i="9"/>
  <c r="C91" i="9" s="1"/>
  <c r="D71" i="9"/>
  <c r="D66" i="9" s="1"/>
  <c r="N72" i="9" s="1"/>
  <c r="D77" i="9"/>
  <c r="N75" i="9" s="1"/>
  <c r="C103" i="9"/>
  <c r="C113" i="9" s="1"/>
  <c r="C114" i="9" s="1"/>
  <c r="E114" i="9" s="1"/>
  <c r="E115" i="9" s="1"/>
  <c r="C90" i="9"/>
  <c r="C97" i="9" s="1"/>
  <c r="C98" i="9" s="1"/>
  <c r="E98" i="9" s="1"/>
  <c r="E99" i="9" s="1"/>
  <c r="D70" i="9"/>
  <c r="C82" i="9"/>
  <c r="C81" i="9" s="1"/>
  <c r="C85" i="9" s="1"/>
  <c r="C86" i="9" s="1"/>
  <c r="D72" i="9" s="1"/>
  <c r="G14" i="66"/>
  <c r="B6" i="66" s="1"/>
  <c r="N69" i="9"/>
  <c r="D44" i="9"/>
  <c r="F44" i="9"/>
  <c r="O39" i="9"/>
  <c r="E44" i="9"/>
  <c r="F14" i="66"/>
  <c r="E14" i="66"/>
  <c r="B5" i="66"/>
  <c r="C99" i="9"/>
  <c r="C115" i="9" l="1"/>
  <c r="D76" i="9" s="1"/>
  <c r="D74" i="9" s="1"/>
  <c r="N74" i="9" s="1"/>
  <c r="M86" i="9"/>
  <c r="N86" i="9" s="1"/>
  <c r="M88" i="9"/>
  <c r="N88" i="9" s="1"/>
  <c r="M85" i="9"/>
  <c r="N85" i="9" s="1"/>
  <c r="M84" i="9"/>
  <c r="N84" i="9" s="1"/>
  <c r="M87" i="9"/>
  <c r="N87" i="9" s="1"/>
  <c r="M83" i="9"/>
  <c r="N83" i="9" s="1"/>
  <c r="C5" i="66"/>
  <c r="D5" i="66"/>
  <c r="K29" i="9"/>
  <c r="K30" i="9" s="1"/>
  <c r="R6" i="54"/>
  <c r="B50" i="63" s="1"/>
  <c r="D6" i="66"/>
  <c r="C6" i="66"/>
  <c r="N76" i="9"/>
  <c r="N89" i="9" l="1"/>
  <c r="O89" i="9" s="1"/>
  <c r="O77" i="9"/>
  <c r="O78" i="9" s="1"/>
  <c r="O79" i="9" l="1"/>
  <c r="C46" i="9" s="1"/>
  <c r="K33" i="9" s="1"/>
  <c r="Q77" i="9"/>
  <c r="F46" i="9"/>
  <c r="O41" i="9"/>
  <c r="O80" i="9"/>
  <c r="I14" i="66"/>
  <c r="B8" i="66" s="1"/>
  <c r="C8" i="66" s="1"/>
  <c r="E46" i="9"/>
  <c r="D46" i="9"/>
  <c r="O81" i="9"/>
  <c r="K34" i="9"/>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<sst xmlns="http://schemas.openxmlformats.org/spreadsheetml/2006/main" count="7983" uniqueCount="3145">
  <si>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</si>
  <si>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</si>
  <si>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</si>
  <si>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</si>
  <si>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</si>
  <si>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</si>
  <si>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</si>
  <si>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</si>
  <si>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</si>
  <si>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</si>
  <si>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</si>
  <si>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</si>
  <si>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</si>
  <si>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</si>
  <si>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</si>
  <si>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</si>
  <si>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</si>
  <si>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</si>
  <si>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</si>
  <si>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</si>
  <si>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</si>
  <si>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</si>
  <si>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</si>
  <si>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</si>
  <si>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</si>
  <si>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</si>
  <si>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</si>
  <si>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</si>
  <si>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</si>
  <si>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</si>
  <si>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</si>
  <si>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</si>
  <si>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</si>
  <si>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</si>
  <si>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</si>
  <si>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</si>
  <si>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</si>
  <si>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</si>
  <si>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</si>
  <si>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</si>
  <si>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</si>
  <si>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</si>
  <si>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</si>
  <si>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</si>
  <si>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</si>
  <si>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</si>
  <si>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</si>
  <si>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</si>
  <si>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</si>
  <si>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</si>
  <si>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</si>
  <si>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</si>
  <si>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</si>
  <si>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</si>
  <si>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</si>
  <si>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</si>
  <si>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</si>
  <si>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</si>
  <si>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</si>
  <si>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</si>
  <si>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</si>
  <si>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</si>
  <si>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</si>
  <si>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</si>
  <si>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</si>
  <si>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</si>
  <si>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</si>
  <si>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</si>
  <si>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</si>
  <si>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</si>
  <si>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</si>
  <si>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</si>
  <si>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</si>
  <si>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</si>
  <si>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</si>
  <si>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</si>
  <si>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</si>
  <si>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</si>
  <si>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</si>
  <si>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</si>
  <si>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</si>
  <si>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</si>
  <si>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</si>
  <si>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</si>
  <si>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</si>
  <si>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</si>
  <si>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</si>
  <si>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</si>
  <si>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</si>
  <si>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</si>
  <si>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</si>
  <si>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</si>
  <si>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</si>
  <si>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</si>
  <si>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</si>
  <si>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</si>
  <si>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</si>
  <si>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</si>
  <si>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</si>
  <si>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</si>
  <si>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</si>
  <si>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</si>
  <si>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</si>
  <si>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</si>
  <si>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</si>
  <si>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</si>
  <si>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</si>
  <si>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</si>
  <si>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</si>
  <si>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</si>
  <si>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</si>
  <si>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</si>
  <si>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</si>
  <si>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</si>
  <si>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</si>
  <si>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</si>
  <si>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</si>
  <si>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</si>
  <si>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</si>
  <si>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</si>
  <si>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</si>
  <si>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</si>
  <si>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</si>
  <si>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</si>
  <si>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</si>
  <si>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</si>
  <si>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</si>
  <si>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</si>
  <si>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</si>
  <si>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</si>
  <si>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</si>
  <si>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</si>
  <si>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</si>
  <si>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</si>
  <si>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</si>
  <si>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</si>
  <si>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</si>
  <si>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</si>
  <si>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</si>
  <si>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</si>
  <si>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</si>
  <si>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</si>
  <si>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</si>
  <si>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</si>
  <si>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</si>
  <si>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</si>
  <si>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</si>
  <si>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</si>
  <si>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</si>
  <si>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</si>
  <si>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</si>
  <si>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</si>
  <si>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</si>
  <si>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</si>
  <si>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</si>
  <si>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</si>
  <si>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</si>
  <si>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</si>
  <si>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</si>
  <si>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</si>
  <si>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</si>
  <si>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</si>
  <si>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</si>
  <si>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</si>
  <si>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</si>
  <si>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</si>
  <si>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</si>
  <si>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</si>
  <si>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</si>
  <si>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</si>
  <si>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</si>
  <si>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</si>
  <si>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</si>
  <si>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</si>
  <si>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</si>
  <si>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</si>
  <si>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</si>
  <si>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</si>
  <si>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</si>
  <si>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</si>
  <si>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</si>
  <si>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</si>
  <si>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</si>
  <si>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</si>
  <si>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</si>
  <si>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</si>
  <si>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</si>
  <si>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</si>
  <si>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</si>
  <si>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</si>
  <si>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</si>
  <si>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</si>
  <si>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</si>
  <si>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</si>
  <si>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</si>
  <si>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</si>
  <si>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</si>
  <si>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</si>
  <si>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</si>
  <si>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</si>
  <si>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</si>
  <si>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</si>
  <si>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</si>
  <si>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</si>
  <si>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</si>
  <si>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</si>
  <si>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</si>
  <si>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</si>
  <si>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</si>
  <si>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</si>
  <si>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</si>
  <si>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</si>
  <si>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</si>
  <si>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</si>
  <si>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</si>
  <si>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</si>
  <si>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</si>
  <si>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</si>
  <si>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</si>
  <si>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</si>
  <si>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</si>
  <si>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</si>
  <si>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</si>
  <si>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</si>
  <si>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</si>
  <si>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</si>
  <si>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</si>
  <si>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</si>
  <si>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</si>
  <si>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</si>
  <si>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</si>
  <si>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</si>
  <si>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</si>
  <si>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</si>
  <si>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</si>
  <si>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</si>
  <si>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</si>
  <si>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</si>
  <si>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</si>
  <si>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</si>
  <si>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</si>
  <si>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</si>
  <si>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</si>
  <si>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</si>
  <si>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</si>
  <si>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</si>
  <si>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</si>
  <si>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</si>
  <si>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</si>
  <si>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</si>
  <si>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</si>
  <si>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</si>
  <si>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</si>
  <si>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</si>
  <si>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</si>
  <si>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</si>
  <si>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</si>
  <si>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</si>
  <si>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</si>
  <si>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</si>
  <si>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</si>
  <si>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</si>
  <si>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</si>
  <si>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</si>
  <si>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</si>
  <si>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</si>
  <si>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</si>
  <si>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</si>
  <si>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</si>
  <si>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</si>
  <si>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</si>
  <si>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</si>
  <si>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</si>
  <si>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</si>
  <si>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</si>
  <si>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</si>
  <si>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</si>
  <si>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</si>
  <si>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</si>
  <si>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</si>
  <si>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</si>
  <si>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</si>
  <si>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</si>
  <si>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</si>
  <si>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</si>
  <si>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</si>
  <si>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</si>
  <si>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</si>
  <si>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</si>
  <si>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</si>
  <si>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</si>
  <si>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</si>
  <si>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</si>
  <si>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</si>
  <si>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</si>
  <si>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</si>
  <si>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</si>
  <si>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</si>
  <si>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</si>
  <si>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</si>
  <si>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</si>
  <si>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</si>
  <si>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</si>
  <si>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</si>
  <si>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</si>
  <si>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</si>
  <si>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</si>
  <si>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</si>
  <si>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</si>
  <si>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</si>
  <si>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</si>
  <si>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</si>
  <si>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</si>
  <si>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</si>
  <si>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</si>
  <si>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</si>
  <si>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</si>
  <si>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</si>
  <si>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</si>
  <si>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</si>
  <si>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</si>
  <si>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</si>
  <si>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</si>
  <si>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</si>
  <si>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</si>
  <si>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</si>
  <si>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</si>
  <si>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</si>
  <si>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</si>
  <si>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</si>
  <si>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</si>
  <si>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</si>
  <si>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</si>
  <si>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</si>
  <si>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</si>
  <si>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</si>
  <si>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</si>
  <si>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</si>
  <si>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</si>
  <si>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</si>
  <si>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</si>
  <si>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</si>
  <si>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</si>
  <si>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</si>
  <si>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</si>
  <si>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</si>
  <si>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</si>
  <si>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</si>
  <si>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</si>
  <si>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</si>
  <si>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</si>
  <si>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</si>
  <si>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</si>
  <si>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</si>
  <si>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</si>
  <si>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</si>
  <si>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</si>
  <si>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</si>
  <si>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</si>
  <si>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</si>
  <si>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</si>
  <si>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</si>
  <si>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</si>
  <si>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</si>
  <si>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</si>
  <si>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</si>
  <si>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</si>
  <si>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</si>
  <si>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</si>
  <si>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</si>
  <si>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</si>
  <si>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</si>
  <si>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</si>
  <si>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</si>
  <si>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</si>
  <si>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</si>
  <si>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</si>
  <si>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</si>
  <si>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</si>
  <si>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</si>
  <si>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</si>
  <si>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</si>
  <si>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</si>
  <si>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</si>
  <si>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</si>
  <si>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</si>
  <si>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</si>
  <si>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</si>
  <si>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</si>
  <si>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</si>
  <si>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</si>
  <si>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</si>
  <si>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</si>
  <si>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</si>
  <si>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</si>
  <si>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</si>
  <si>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</si>
  <si>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</si>
  <si>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</si>
  <si>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</si>
  <si>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</si>
  <si>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</si>
  <si>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</si>
  <si>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</si>
  <si>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</si>
  <si>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</si>
  <si>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</si>
  <si>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</si>
  <si>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</si>
  <si>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</si>
  <si>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</si>
  <si>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</si>
  <si>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</si>
  <si>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</si>
  <si>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</si>
  <si>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</si>
  <si>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</si>
  <si>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</si>
  <si>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</si>
  <si>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</si>
  <si>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</si>
  <si>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</si>
  <si>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</si>
  <si>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</si>
  <si>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</si>
  <si>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</si>
  <si>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</si>
  <si>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</si>
  <si>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</si>
  <si>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</si>
  <si>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</si>
  <si>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</si>
  <si>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</si>
  <si>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</si>
  <si>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</si>
  <si>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</si>
  <si>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</si>
  <si>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</si>
  <si>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</si>
  <si>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</si>
  <si>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</si>
  <si>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</si>
  <si>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</si>
  <si>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</si>
  <si>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</si>
  <si>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</si>
  <si>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</si>
  <si>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</si>
  <si>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</si>
  <si>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</si>
  <si>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</si>
  <si>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</si>
  <si>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</si>
  <si>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</si>
  <si>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</si>
  <si>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</si>
  <si>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</si>
  <si>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</si>
  <si>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</si>
  <si>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</si>
  <si>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</si>
  <si>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</si>
  <si>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</si>
  <si>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</si>
  <si>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</si>
  <si>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</si>
  <si>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</si>
  <si>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</si>
  <si>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</si>
  <si>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</si>
  <si>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</si>
  <si>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</si>
  <si>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</si>
  <si>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</si>
  <si>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</si>
  <si>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</si>
  <si>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</si>
  <si>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</si>
  <si>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</si>
  <si>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</si>
  <si>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</si>
  <si>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</si>
  <si>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</si>
  <si>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</si>
  <si>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</si>
  <si>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</si>
  <si>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</si>
  <si>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</si>
  <si>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</si>
  <si>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</si>
  <si>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</si>
  <si>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</si>
  <si>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</si>
  <si>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</si>
  <si>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</si>
  <si>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</si>
  <si>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</si>
  <si>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</si>
  <si>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</si>
  <si>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</si>
  <si>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</si>
  <si>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</si>
  <si>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</si>
  <si>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</si>
  <si>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</si>
  <si>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</si>
  <si>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</si>
  <si>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</si>
  <si>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</si>
  <si>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</si>
  <si>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</si>
  <si>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</si>
  <si>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</si>
  <si>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</si>
  <si>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</si>
  <si>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</si>
  <si>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</si>
  <si>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</si>
  <si>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</si>
  <si>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</si>
  <si>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</si>
  <si>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</si>
  <si>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</si>
  <si>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</si>
  <si>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</si>
  <si>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</si>
  <si>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</si>
  <si>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</si>
  <si>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</si>
  <si>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</si>
  <si>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</si>
  <si>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</si>
  <si>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</si>
  <si>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</si>
  <si>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</si>
  <si>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</si>
  <si>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</si>
  <si>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</si>
  <si>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</si>
  <si>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</si>
  <si>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</si>
  <si>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</si>
  <si>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</si>
  <si>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</si>
  <si>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</si>
  <si>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</si>
  <si>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</si>
  <si>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</si>
  <si>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</si>
  <si>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</si>
  <si>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</si>
  <si>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</si>
  <si>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</si>
  <si>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</si>
  <si>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</si>
  <si>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</si>
  <si>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</si>
  <si>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</si>
  <si>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</si>
  <si>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</si>
  <si>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</si>
  <si>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</si>
  <si>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</si>
  <si>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</si>
  <si>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</si>
  <si>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</si>
  <si>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</si>
  <si>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</si>
  <si>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</si>
  <si>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</si>
  <si>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</si>
  <si>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</si>
  <si>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</si>
  <si>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</si>
  <si>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</si>
  <si>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</si>
  <si>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</si>
  <si>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</si>
  <si>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</si>
  <si>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</si>
  <si>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</si>
  <si>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</si>
  <si>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</si>
  <si>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</si>
  <si>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</si>
  <si>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</si>
  <si>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</si>
  <si>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</si>
  <si>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</si>
  <si>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</si>
  <si>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</si>
  <si>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</si>
  <si>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</si>
  <si>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</si>
  <si>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</si>
  <si>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</si>
  <si>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</si>
  <si>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</si>
  <si>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</si>
  <si>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</si>
  <si>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</si>
  <si>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</si>
  <si>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</si>
  <si>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</si>
  <si>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</si>
  <si>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</si>
  <si>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</si>
  <si>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</si>
  <si>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</si>
  <si>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</si>
  <si>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</si>
  <si>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</si>
  <si>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</si>
  <si>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</si>
  <si>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</si>
  <si>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</si>
  <si>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</si>
  <si>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</si>
  <si>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</si>
  <si>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</si>
  <si>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</si>
  <si>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</si>
  <si>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</si>
  <si>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</si>
  <si>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</si>
  <si>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</si>
  <si>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</si>
  <si>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</si>
  <si>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</si>
  <si>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</si>
  <si>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</si>
  <si>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</si>
  <si>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</si>
  <si>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</si>
  <si>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</si>
  <si>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</si>
  <si>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</si>
  <si>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</si>
  <si>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</si>
  <si>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</si>
  <si>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</si>
  <si>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</si>
  <si>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</si>
  <si>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</si>
  <si>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</si>
  <si>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</si>
  <si>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</si>
  <si>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</si>
  <si>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</si>
  <si>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</si>
  <si>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</si>
  <si>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</si>
  <si>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</si>
  <si>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</si>
  <si>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</si>
  <si>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</si>
  <si>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</si>
  <si>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</si>
  <si>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</si>
  <si>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</si>
  <si>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</si>
  <si>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</si>
  <si>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</si>
  <si>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</si>
  <si>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</si>
  <si>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</si>
  <si>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</si>
  <si>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</si>
  <si>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</si>
  <si>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</si>
  <si>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</si>
  <si>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</si>
  <si>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</si>
  <si>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</si>
  <si>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</si>
  <si>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</si>
  <si>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</si>
  <si>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</si>
  <si>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</si>
  <si>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</si>
  <si>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</si>
  <si>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</si>
  <si>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</si>
  <si>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</si>
  <si>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</si>
  <si>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</si>
  <si>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</si>
  <si>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</si>
  <si>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</si>
  <si>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</si>
  <si>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</si>
  <si>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</si>
  <si>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</si>
  <si>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</si>
  <si>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</si>
  <si>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</si>
  <si>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</si>
  <si>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</si>
  <si>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</si>
  <si>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</si>
  <si>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</si>
  <si>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</si>
  <si>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</si>
  <si>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</si>
  <si>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</si>
  <si>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</si>
  <si>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</si>
  <si>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</si>
  <si>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</si>
  <si>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</si>
  <si>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</si>
  <si>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</si>
  <si>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</si>
  <si>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</si>
  <si>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</si>
  <si>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</si>
  <si>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</si>
  <si>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</si>
  <si>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</si>
  <si>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</si>
  <si>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</si>
  <si>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</si>
  <si>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</si>
  <si>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</si>
  <si>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</si>
  <si>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</si>
  <si>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</si>
  <si>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</si>
  <si>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</si>
  <si>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</si>
  <si>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</si>
  <si>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</si>
  <si>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</si>
  <si>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</si>
  <si>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</si>
  <si>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</si>
  <si>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</si>
  <si>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</si>
  <si>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</si>
  <si>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</si>
  <si>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</si>
  <si>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</si>
  <si>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</si>
  <si>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</si>
  <si>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</si>
  <si>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</si>
  <si>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</si>
  <si>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</si>
  <si>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</si>
  <si>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</si>
  <si>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</si>
  <si>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</si>
  <si>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</si>
  <si>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</si>
  <si>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</si>
  <si>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</si>
  <si>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</si>
  <si>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</si>
  <si>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</si>
  <si>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</si>
  <si>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</si>
  <si>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</si>
  <si>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</si>
  <si>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</si>
  <si>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</si>
  <si>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</si>
  <si>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</si>
  <si>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</si>
  <si>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</si>
  <si>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</si>
  <si>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</si>
  <si>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</si>
  <si>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</si>
  <si>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</si>
  <si>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</si>
  <si>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</si>
  <si>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</si>
  <si>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</si>
  <si>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</si>
  <si>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</si>
  <si>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</si>
  <si>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</si>
  <si>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</si>
  <si>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</si>
  <si>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</si>
  <si>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</si>
  <si>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</si>
  <si>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</si>
  <si>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</si>
  <si>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</si>
  <si>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</si>
  <si>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</si>
  <si>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</si>
  <si>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</si>
  <si>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</si>
  <si>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</si>
  <si>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</si>
  <si>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</si>
  <si>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</si>
  <si>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</si>
  <si>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</si>
  <si>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</si>
  <si>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</si>
  <si>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</si>
  <si>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</si>
  <si>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</si>
  <si>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</si>
  <si>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</si>
  <si>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</si>
  <si>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</si>
  <si>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</si>
  <si>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</si>
  <si>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</si>
  <si>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</si>
  <si>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</si>
  <si>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</si>
  <si>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</si>
  <si>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</si>
  <si>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</si>
  <si>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</si>
  <si>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</si>
  <si>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</si>
  <si>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</si>
  <si>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</si>
  <si>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</si>
  <si>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</si>
  <si>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</si>
  <si>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</si>
  <si>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</si>
  <si>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</si>
  <si>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</si>
  <si>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</si>
  <si>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</si>
  <si>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</si>
  <si>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</si>
  <si>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</si>
  <si>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</si>
  <si>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</si>
  <si>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</si>
  <si>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</si>
  <si>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</si>
  <si>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</si>
  <si>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</si>
  <si>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</si>
  <si>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</si>
  <si>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</si>
  <si>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</si>
  <si>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</si>
  <si>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</si>
  <si>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</si>
  <si>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</si>
  <si>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</si>
  <si>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</si>
  <si>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</si>
  <si>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</si>
  <si>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</si>
  <si>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</si>
  <si>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</si>
  <si>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</si>
  <si>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</si>
  <si>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</si>
  <si>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</si>
  <si>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</si>
  <si>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</si>
  <si>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</si>
  <si>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</si>
  <si>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</si>
  <si>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</si>
  <si>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</si>
  <si>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</si>
  <si>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</si>
  <si>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</si>
  <si>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</si>
  <si>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</si>
  <si>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</si>
  <si>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</si>
  <si>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</si>
  <si>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</si>
  <si>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</si>
  <si>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</si>
  <si>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</si>
  <si>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</si>
  <si>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</si>
  <si>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</si>
  <si>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</si>
  <si>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</si>
  <si>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</si>
  <si>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</si>
  <si>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</si>
  <si>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</si>
  <si>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</si>
  <si>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</si>
  <si>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</si>
  <si>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</si>
  <si>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</si>
  <si>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</si>
  <si>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</si>
  <si>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</si>
  <si>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</si>
  <si>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</si>
  <si>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</si>
  <si>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</si>
  <si>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</si>
  <si>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</si>
  <si>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</si>
  <si>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</si>
  <si>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</si>
  <si>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</si>
  <si>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</si>
  <si>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</si>
  <si>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</si>
  <si>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</si>
  <si>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</si>
  <si>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</si>
  <si>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</si>
  <si>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</si>
  <si>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</si>
  <si>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</si>
  <si>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</si>
  <si>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</si>
  <si>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</si>
  <si>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</si>
  <si>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</si>
  <si>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</si>
  <si>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</si>
  <si>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</si>
  <si>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</si>
  <si>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</si>
  <si>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</si>
  <si>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</si>
  <si>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</si>
  <si>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</si>
  <si>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</si>
  <si>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</si>
  <si>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</si>
  <si>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</si>
  <si>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</si>
  <si>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</si>
  <si>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</si>
  <si>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</si>
  <si>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</si>
  <si>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</si>
  <si>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</si>
  <si>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</si>
  <si>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</si>
  <si>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</si>
  <si>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</si>
  <si>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</si>
  <si>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</si>
  <si>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</si>
  <si>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</si>
  <si>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</si>
  <si>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</si>
  <si>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</si>
  <si>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</si>
  <si>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</si>
  <si>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</si>
  <si>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</si>
  <si>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</si>
  <si>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</si>
  <si>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</si>
  <si>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</si>
  <si>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</si>
  <si>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</si>
  <si>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</si>
  <si>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</si>
  <si>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</si>
  <si>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</si>
  <si>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</si>
  <si>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</si>
  <si>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</si>
  <si>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</si>
  <si>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</si>
  <si>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</si>
  <si>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</si>
  <si>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</si>
  <si>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</si>
  <si>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</si>
  <si>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</si>
  <si>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</si>
  <si>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</si>
  <si>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</si>
  <si>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</si>
  <si>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</si>
  <si>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</si>
  <si>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</si>
  <si>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</si>
  <si>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</si>
  <si>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</si>
  <si>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</si>
  <si>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</si>
  <si>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</si>
  <si>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</si>
  <si>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</si>
  <si>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</si>
  <si>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</si>
  <si>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</si>
  <si>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</si>
  <si>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</si>
  <si>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</si>
  <si>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</si>
  <si>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</si>
  <si>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</si>
  <si>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</si>
  <si>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</si>
  <si>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</si>
  <si>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</si>
  <si>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</si>
  <si>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</si>
  <si>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</si>
  <si>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</si>
  <si>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</si>
  <si>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</si>
  <si>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</si>
  <si>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</si>
  <si>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</si>
  <si>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</si>
  <si>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</si>
  <si>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</si>
  <si>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</si>
  <si>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</si>
  <si>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</si>
  <si>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</si>
  <si>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</si>
  <si>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</si>
  <si>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</si>
  <si>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</si>
  <si>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</si>
  <si>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</si>
  <si>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</si>
  <si>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</si>
  <si>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</si>
  <si>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</si>
  <si>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</si>
  <si>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</si>
  <si>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</si>
  <si>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</si>
  <si>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</si>
  <si>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</si>
  <si>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</si>
  <si>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</si>
  <si>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</si>
  <si>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</si>
  <si>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</si>
  <si>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</si>
  <si>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</si>
  <si>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</si>
  <si>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</si>
  <si>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</si>
  <si>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</si>
  <si>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</si>
  <si>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</si>
  <si>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</si>
  <si>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</si>
  <si>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</si>
  <si>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</si>
  <si>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</si>
  <si>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</si>
  <si>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</si>
  <si>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</si>
  <si>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</si>
  <si>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</si>
  <si>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</si>
  <si>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</si>
  <si>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</si>
  <si>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</si>
  <si>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</si>
  <si>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</si>
  <si>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</si>
  <si>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</si>
  <si>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</si>
  <si>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</si>
  <si>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</si>
  <si>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</si>
  <si>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</si>
  <si>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</si>
  <si>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</si>
  <si>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</si>
  <si>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</si>
  <si>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</si>
  <si>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</si>
  <si>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</si>
  <si>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</si>
  <si>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</si>
  <si>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</si>
  <si>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</si>
  <si>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</si>
  <si>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</si>
  <si>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</si>
  <si>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</si>
  <si>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</si>
  <si>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</si>
  <si>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</si>
  <si>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</si>
  <si>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</si>
  <si>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</si>
  <si>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</si>
  <si>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</si>
  <si>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</si>
  <si>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</si>
  <si>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</si>
  <si>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</si>
  <si>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</si>
  <si>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</si>
  <si>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</si>
  <si>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</si>
  <si>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</si>
  <si>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</si>
  <si>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</si>
  <si>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</si>
  <si>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</si>
  <si>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</si>
  <si>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</si>
  <si>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</si>
  <si>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</si>
  <si>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</si>
  <si>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</si>
  <si>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</si>
  <si>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</si>
  <si>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</si>
  <si>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</si>
  <si>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</si>
  <si>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</si>
  <si>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</si>
  <si>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</si>
  <si>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</si>
  <si>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</si>
  <si>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</si>
  <si>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</si>
  <si>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</si>
  <si>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</si>
  <si>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</si>
  <si>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</si>
  <si>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</si>
  <si>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</si>
  <si>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</si>
  <si>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</si>
  <si>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</si>
  <si>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</si>
  <si>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</si>
  <si>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</si>
  <si>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</si>
  <si>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</si>
  <si>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</si>
  <si>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</si>
  <si>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</si>
  <si>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</si>
  <si>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</si>
  <si>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</si>
  <si>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</si>
  <si>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</si>
  <si>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</si>
  <si>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</si>
  <si>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</si>
  <si>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</si>
  <si>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</si>
  <si>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</si>
  <si>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</si>
  <si>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</si>
  <si>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</si>
  <si>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</si>
  <si>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</si>
  <si>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</si>
  <si>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</si>
  <si>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</si>
  <si>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</si>
  <si>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</si>
  <si>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</si>
  <si>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</si>
  <si>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</si>
  <si>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</si>
  <si>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</si>
  <si>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</si>
  <si>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</si>
  <si>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</si>
  <si>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</si>
  <si>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</si>
  <si>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</si>
  <si>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</si>
  <si>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</si>
  <si>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</si>
  <si>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</si>
  <si>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</si>
  <si>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</si>
  <si>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</si>
  <si>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</si>
  <si>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</si>
  <si>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</si>
  <si>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</si>
  <si>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</si>
  <si>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</si>
  <si>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</si>
  <si>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</si>
  <si>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</si>
  <si>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</si>
  <si>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</si>
  <si>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</si>
  <si>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</si>
  <si>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</si>
  <si>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</si>
  <si>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</si>
  <si>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</si>
  <si>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</si>
  <si>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</si>
  <si>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</si>
  <si>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</si>
  <si>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</si>
  <si>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</si>
  <si>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</si>
  <si>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</si>
  <si>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</si>
  <si>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</si>
  <si>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</si>
  <si>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</si>
  <si>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</si>
  <si>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</si>
  <si>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</si>
  <si>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</si>
  <si>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</si>
  <si>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</si>
  <si>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</si>
  <si>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</si>
  <si>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</si>
  <si>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</si>
  <si>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</si>
  <si>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</si>
  <si>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</si>
  <si>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</si>
  <si>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</si>
  <si>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</si>
  <si>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</si>
  <si>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</si>
  <si>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</si>
  <si>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</si>
  <si>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</si>
  <si>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</si>
  <si>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</si>
  <si>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</si>
  <si>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</si>
  <si>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</si>
  <si>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</si>
  <si>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</si>
  <si>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</si>
  <si>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</si>
  <si>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</si>
  <si>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</si>
  <si>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</si>
  <si>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</si>
  <si>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</si>
  <si>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</si>
  <si>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</si>
  <si>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</si>
  <si>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</si>
  <si>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</si>
  <si>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</si>
  <si>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</si>
  <si>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</si>
  <si>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</si>
  <si>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</si>
  <si>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</si>
  <si>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</si>
  <si>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</si>
  <si>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</si>
  <si>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</si>
  <si>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</si>
  <si>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</si>
  <si>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</si>
  <si>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</si>
  <si>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</si>
  <si>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</si>
  <si>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</si>
  <si>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</si>
  <si>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</si>
  <si>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</si>
  <si>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</si>
  <si>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</si>
  <si>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</si>
  <si>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</si>
  <si>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</si>
  <si>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</si>
  <si>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</si>
  <si>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</si>
  <si>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</si>
  <si>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</si>
  <si>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</si>
  <si>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</si>
  <si>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</si>
  <si>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</si>
  <si>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</si>
  <si>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</si>
  <si>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</si>
  <si>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</si>
  <si>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</si>
  <si>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</si>
  <si>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</si>
  <si>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</si>
  <si>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</si>
  <si>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</si>
  <si>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</si>
  <si>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</si>
  <si>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</si>
  <si>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</si>
  <si>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</si>
  <si>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</si>
  <si>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</si>
  <si>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</si>
  <si>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</si>
  <si>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</si>
  <si>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</si>
  <si>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</si>
  <si>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</si>
  <si>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</si>
  <si>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</si>
  <si>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</si>
  <si>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</si>
  <si>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</si>
  <si>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</si>
  <si>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</si>
  <si>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</si>
  <si>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</si>
  <si>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</si>
  <si>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</si>
  <si>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</si>
  <si>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</si>
  <si>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</si>
  <si>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</si>
  <si>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</si>
  <si>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</si>
  <si>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</si>
  <si>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</si>
  <si>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</si>
  <si>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</si>
  <si>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</si>
  <si>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</si>
  <si>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</si>
  <si>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</si>
  <si>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</si>
  <si>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</si>
  <si>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</si>
  <si>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</si>
  <si>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</si>
  <si>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</si>
  <si>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</si>
  <si>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</si>
  <si>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</si>
  <si>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</si>
  <si>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</si>
  <si>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</si>
  <si>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</si>
  <si>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</si>
  <si>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</si>
  <si>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</si>
  <si>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</si>
  <si>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</si>
  <si>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</si>
  <si>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</si>
  <si>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</si>
  <si>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</si>
  <si>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</si>
  <si>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</si>
  <si>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</si>
  <si>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</si>
  <si>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</si>
  <si>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</si>
  <si>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</si>
  <si>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</si>
  <si>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</si>
  <si>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</si>
  <si>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</si>
  <si>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</si>
  <si>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</si>
  <si>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</si>
  <si>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</si>
  <si>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</si>
  <si>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</si>
  <si>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</si>
  <si>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</si>
  <si>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</si>
  <si>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</si>
  <si>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</si>
  <si>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</si>
  <si>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</si>
  <si>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</si>
  <si>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</si>
  <si>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</si>
  <si>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</si>
  <si>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</si>
  <si>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</si>
  <si>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</si>
  <si>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</si>
  <si>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</si>
  <si>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</si>
  <si>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</si>
  <si>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</si>
  <si>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</si>
  <si>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</si>
  <si>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</si>
  <si>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</si>
  <si>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</si>
  <si>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</si>
  <si>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</si>
  <si>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</si>
  <si>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</si>
  <si>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</si>
  <si>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</si>
  <si>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</si>
  <si>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</si>
  <si>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</si>
  <si>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</si>
  <si>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</si>
  <si>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</si>
  <si>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</si>
  <si>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</si>
  <si>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</si>
  <si>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</si>
  <si>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</si>
  <si>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</si>
  <si>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</si>
  <si>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</si>
  <si>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</si>
  <si>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</si>
  <si>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</si>
  <si>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</si>
  <si>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</si>
  <si>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</si>
  <si>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</si>
  <si>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</si>
  <si>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</si>
  <si>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</si>
  <si>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</si>
  <si>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</si>
  <si>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</si>
  <si>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</si>
  <si>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</si>
  <si>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</si>
  <si>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</si>
  <si>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</si>
  <si>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</si>
  <si>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</si>
  <si>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</si>
  <si>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</si>
  <si>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</si>
  <si>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</si>
  <si>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</si>
  <si>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</si>
  <si>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</si>
  <si>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</si>
  <si>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</si>
  <si>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</si>
  <si>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</si>
  <si>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</si>
  <si>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</si>
  <si>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</si>
  <si>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</si>
  <si>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</si>
  <si>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</si>
  <si>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</si>
  <si>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</si>
  <si>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</si>
  <si>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</si>
  <si>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</si>
  <si>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</si>
  <si>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</si>
  <si>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</si>
  <si>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</si>
  <si>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</si>
  <si>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</si>
  <si>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</si>
  <si>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</si>
  <si>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</si>
  <si>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</si>
  <si>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</si>
  <si>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</si>
  <si>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</si>
  <si>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</si>
  <si>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</si>
  <si>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</si>
  <si>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</si>
  <si>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</si>
  <si>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</si>
  <si>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</si>
  <si>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</si>
  <si>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</si>
  <si>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</si>
  <si>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</si>
  <si>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</si>
  <si>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</si>
  <si>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</si>
  <si>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</si>
  <si>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</si>
  <si>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</si>
  <si>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</si>
  <si>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</si>
  <si>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</si>
  <si>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</si>
  <si>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</si>
  <si>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</si>
  <si>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</si>
  <si>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</si>
  <si>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</si>
  <si>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</si>
  <si>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</si>
  <si>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</si>
  <si>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</si>
  <si>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</si>
  <si>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</si>
  <si>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</si>
  <si>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</si>
  <si>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</si>
  <si>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</si>
  <si>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</si>
  <si>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</si>
  <si>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</si>
  <si>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</si>
  <si>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</si>
  <si>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</si>
  <si>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</si>
  <si>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</si>
  <si>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</si>
  <si>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</si>
  <si>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</si>
  <si>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</si>
  <si>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</si>
  <si>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</si>
  <si>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</si>
  <si>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</si>
  <si>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</si>
  <si>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</si>
  <si>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</si>
  <si>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</si>
  <si>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</si>
  <si>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</si>
  <si>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</si>
  <si>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</si>
  <si>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</si>
  <si>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</si>
  <si>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</si>
  <si>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</si>
  <si>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</si>
  <si>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</si>
  <si>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</si>
  <si>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</si>
  <si>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</si>
  <si>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</si>
  <si>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</si>
  <si>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</si>
  <si>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</si>
  <si>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</si>
  <si>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</si>
  <si>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</si>
  <si>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</si>
  <si>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</si>
  <si>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</si>
  <si>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</si>
  <si>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</si>
  <si>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</si>
  <si>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</si>
  <si>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</si>
  <si>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</si>
  <si>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</si>
  <si>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</si>
  <si>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</si>
  <si>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</si>
  <si>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</si>
  <si>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</si>
  <si>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</si>
  <si>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</si>
  <si>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</si>
  <si>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</si>
  <si>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</si>
  <si>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</si>
  <si>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</si>
  <si>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</si>
  <si>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</si>
  <si>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</si>
  <si>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</si>
  <si>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</si>
  <si>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</si>
  <si>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</si>
  <si>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</si>
  <si>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</si>
  <si>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</si>
  <si>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</si>
  <si>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</si>
  <si>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</si>
  <si>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</si>
  <si>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</si>
  <si>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</si>
  <si>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</si>
  <si>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</si>
  <si>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</si>
  <si>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</si>
  <si>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</si>
  <si>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</si>
  <si>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</si>
  <si>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</si>
  <si>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</si>
  <si>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</si>
  <si>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</si>
  <si>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</si>
  <si>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</si>
  <si>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</si>
  <si>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</si>
  <si>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</si>
  <si>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</si>
  <si>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</si>
  <si>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</si>
  <si>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</si>
  <si>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</si>
  <si>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</si>
  <si>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</si>
  <si>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</si>
  <si>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</si>
  <si>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</si>
  <si>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</si>
  <si>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</si>
  <si>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</si>
  <si>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</si>
  <si>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</si>
  <si>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</si>
  <si>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</si>
  <si>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</si>
  <si>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</si>
  <si>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</si>
  <si>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</si>
  <si>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</si>
  <si>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</si>
  <si>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</si>
  <si>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</si>
  <si>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</si>
  <si>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</si>
  <si>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</si>
  <si>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</si>
  <si>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</si>
  <si>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</si>
  <si>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</si>
  <si>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</si>
  <si>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</si>
  <si>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</si>
  <si>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</si>
  <si>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</si>
  <si>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</si>
  <si>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</si>
  <si>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</si>
  <si>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</si>
  <si>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</si>
  <si>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</si>
  <si>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</si>
  <si>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</si>
  <si>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</si>
  <si>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</si>
  <si>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</si>
  <si>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</si>
  <si>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</si>
  <si>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</si>
  <si>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</si>
  <si>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</si>
  <si>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</si>
  <si>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</si>
  <si>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</si>
  <si>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</si>
  <si>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</si>
  <si>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</si>
  <si>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</si>
  <si>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</si>
  <si>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</si>
  <si>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</si>
  <si>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</si>
  <si>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</si>
  <si>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</si>
  <si>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</si>
  <si>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</si>
  <si>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</si>
  <si>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</si>
  <si>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</si>
  <si>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</si>
  <si>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</si>
  <si>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</si>
  <si>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</si>
  <si>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</si>
  <si>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</si>
  <si>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</si>
  <si>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</si>
  <si>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</si>
  <si>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</si>
  <si>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</si>
  <si>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</si>
  <si>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</si>
  <si>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</si>
  <si>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</si>
  <si>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</si>
  <si>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</si>
  <si>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</si>
  <si>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</si>
  <si>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</si>
  <si>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</si>
  <si>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</si>
  <si>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</si>
  <si>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</si>
  <si>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</si>
  <si>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</si>
  <si>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</si>
  <si>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</si>
  <si>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</si>
  <si>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</si>
  <si>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</si>
  <si>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</si>
  <si>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</si>
  <si>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</si>
  <si>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</si>
  <si>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</si>
  <si>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</si>
  <si>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</si>
  <si>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</si>
  <si>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</si>
  <si>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</si>
  <si>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</si>
  <si>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</si>
  <si>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</si>
  <si>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</si>
  <si>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</si>
  <si>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</si>
  <si>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</si>
  <si>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</si>
  <si>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</si>
  <si>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</si>
  <si>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</si>
  <si>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</si>
  <si>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</si>
  <si>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</si>
  <si>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</si>
  <si>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</si>
  <si>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</si>
  <si>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</si>
  <si>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</si>
  <si>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</si>
  <si>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</si>
  <si>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</si>
  <si>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</si>
  <si>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</si>
  <si>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</si>
  <si>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</si>
  <si>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</si>
  <si>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</si>
  <si>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</si>
  <si>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</si>
  <si>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</si>
  <si>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</si>
  <si>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</si>
  <si>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</si>
  <si>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</si>
  <si>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</si>
  <si>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</si>
  <si>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</si>
  <si>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</si>
  <si>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</si>
  <si>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</si>
  <si>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</si>
  <si>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</si>
  <si>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</si>
  <si>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</si>
  <si>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</si>
  <si>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</si>
  <si>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</si>
  <si>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</si>
  <si>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</si>
  <si>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</si>
  <si>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</si>
  <si>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</si>
  <si>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</si>
  <si>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</si>
  <si>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</si>
  <si>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</si>
  <si>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</si>
  <si>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</si>
  <si>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</si>
  <si>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</si>
  <si>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</si>
  <si>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</si>
  <si>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</si>
  <si>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</si>
  <si>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</si>
  <si>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</si>
  <si>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</si>
  <si>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</si>
  <si>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</si>
  <si>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</si>
  <si>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</si>
  <si>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</si>
  <si>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</si>
  <si>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</si>
  <si>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</si>
  <si>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</si>
  <si>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</si>
  <si>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</si>
  <si>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</si>
  <si>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</si>
  <si>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</si>
  <si>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</si>
  <si>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</si>
  <si>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</si>
  <si>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</si>
  <si>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</si>
  <si>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</si>
  <si>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</si>
  <si>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</si>
  <si>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</si>
  <si>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</si>
  <si>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</si>
  <si>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</si>
  <si>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</si>
  <si>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</si>
  <si>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</si>
  <si>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</si>
  <si>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</si>
  <si>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</si>
  <si>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</si>
  <si>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</si>
  <si>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</si>
  <si>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</si>
  <si>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</si>
  <si>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</si>
  <si>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</si>
  <si>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</si>
  <si>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</si>
  <si>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</si>
  <si>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</si>
  <si>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</si>
  <si>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</si>
  <si>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</si>
  <si>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</si>
  <si>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</si>
  <si>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</si>
  <si>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</si>
  <si>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</si>
  <si>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</si>
  <si>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</si>
  <si>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</si>
  <si>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</si>
  <si>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</si>
  <si>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</si>
  <si>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</si>
  <si>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</si>
  <si>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</si>
  <si>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</si>
  <si>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</si>
  <si>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</si>
  <si>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</si>
  <si>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</si>
  <si>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</si>
  <si>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</si>
  <si>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</si>
  <si>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</si>
  <si>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</si>
  <si>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</si>
  <si>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</si>
  <si>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</si>
  <si>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</si>
  <si>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</si>
  <si>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</si>
  <si>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</si>
  <si>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</si>
  <si>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</si>
  <si>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</si>
  <si>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</si>
  <si>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</si>
  <si>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</si>
  <si>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</si>
  <si>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</si>
  <si>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</si>
  <si>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</si>
  <si>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</si>
  <si>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</si>
  <si>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</si>
  <si>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</si>
  <si>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</si>
  <si>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</si>
  <si>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</si>
  <si>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</si>
  <si>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</si>
  <si>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</si>
  <si>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</si>
  <si>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</si>
  <si>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</si>
  <si>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</si>
  <si>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</si>
  <si>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</si>
  <si>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</si>
  <si>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</si>
  <si>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</si>
  <si>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</si>
  <si>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</si>
  <si>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</si>
  <si>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</si>
  <si>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</si>
  <si>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</si>
  <si>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</si>
  <si>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</si>
  <si>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</si>
  <si>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</si>
  <si>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</si>
  <si>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</si>
  <si>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</si>
  <si>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</si>
  <si>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</si>
  <si>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</si>
  <si>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</si>
  <si>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</si>
  <si>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</si>
  <si>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</si>
  <si>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</si>
  <si>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</si>
  <si>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</si>
  <si>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</si>
  <si>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</si>
  <si>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</si>
  <si>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</si>
  <si>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</si>
  <si>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</si>
  <si>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</si>
  <si>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</si>
  <si>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</si>
  <si>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</si>
  <si>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</si>
  <si>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</si>
  <si>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</si>
  <si>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</si>
  <si>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</si>
  <si>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</si>
  <si>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</si>
  <si>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</si>
  <si>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</si>
  <si>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</si>
  <si>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</si>
  <si>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</si>
  <si>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</si>
  <si>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</si>
  <si>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</si>
  <si>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</si>
  <si>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</si>
  <si>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</si>
  <si>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</si>
  <si>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</si>
  <si>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</si>
  <si>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</si>
  <si>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</si>
  <si>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</si>
  <si>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</si>
  <si>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</si>
  <si>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</si>
  <si>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</si>
  <si>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</si>
  <si>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</si>
  <si>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</si>
  <si>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</si>
  <si>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</si>
  <si>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</si>
  <si>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</si>
  <si>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</si>
  <si>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</si>
  <si>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</si>
  <si>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</si>
  <si>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</si>
  <si>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</si>
  <si>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</si>
  <si>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</si>
  <si>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</si>
  <si>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</si>
  <si>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</si>
  <si>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</si>
  <si>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</si>
  <si>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</si>
  <si>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</si>
  <si>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</si>
  <si>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</si>
  <si>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</si>
  <si>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</si>
  <si>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</si>
  <si>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</si>
  <si>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</si>
  <si>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</si>
  <si>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</si>
  <si>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</si>
  <si>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</si>
  <si>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</si>
  <si>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</si>
  <si>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</si>
  <si>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</si>
  <si>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</si>
  <si>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</si>
  <si>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</si>
  <si>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</si>
  <si>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</si>
  <si>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</si>
  <si>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</si>
  <si>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</si>
  <si>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</si>
  <si>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</si>
  <si>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</si>
  <si>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</si>
  <si>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</si>
  <si>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</si>
  <si>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</si>
  <si>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</si>
  <si>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</si>
  <si>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</si>
  <si>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</si>
  <si>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</si>
  <si>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</si>
  <si>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</si>
  <si>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</si>
  <si>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</si>
  <si>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</si>
  <si>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</si>
  <si>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</si>
  <si>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</si>
  <si>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</si>
  <si>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</si>
  <si>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</si>
  <si>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</si>
  <si>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</si>
  <si>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</si>
  <si>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</si>
  <si>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</si>
  <si>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</si>
  <si>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</si>
  <si>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</si>
  <si>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</si>
  <si>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</si>
  <si>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</si>
  <si>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</si>
  <si>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</si>
  <si>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</si>
  <si>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</si>
  <si>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</si>
  <si>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</si>
  <si>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</si>
  <si>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</si>
  <si>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</si>
  <si>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</si>
  <si>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</si>
  <si>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</si>
  <si>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</si>
  <si>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</si>
  <si>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</si>
  <si>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</si>
  <si>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</si>
  <si>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</si>
  <si>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</si>
  <si>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</si>
  <si>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</si>
  <si>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</si>
  <si>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</si>
  <si>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</si>
  <si>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</si>
  <si>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</si>
  <si>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</si>
  <si>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</si>
  <si>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</si>
  <si>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</si>
  <si>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</si>
  <si>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</si>
  <si>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</si>
  <si>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</si>
  <si>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</si>
  <si>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</si>
  <si>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</si>
  <si>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</si>
  <si>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</si>
  <si>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</si>
  <si>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</si>
  <si>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</si>
  <si>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</si>
  <si>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</si>
  <si>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</si>
  <si>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</si>
  <si>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</si>
  <si>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</si>
  <si>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</si>
  <si>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</si>
  <si>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</si>
  <si>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</si>
  <si>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</si>
  <si>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</si>
  <si>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</si>
  <si>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</si>
  <si>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</si>
  <si>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</si>
  <si>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</si>
  <si>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</si>
  <si>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</si>
  <si>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</si>
  <si>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</si>
  <si>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</si>
  <si>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</si>
  <si>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</si>
  <si>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</si>
  <si>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</si>
  <si>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</si>
  <si>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</si>
  <si>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</si>
  <si>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</si>
  <si>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</si>
  <si>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</si>
  <si>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</si>
  <si>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</si>
  <si>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</si>
  <si>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</si>
  <si>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</si>
  <si>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</si>
  <si>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</si>
  <si>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</si>
  <si>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</si>
  <si>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</si>
  <si>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</si>
  <si>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</si>
  <si>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</si>
  <si>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</si>
  <si>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</si>
  <si>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</si>
  <si>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</si>
  <si>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</si>
  <si>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</si>
  <si>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</si>
  <si>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</si>
  <si>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</si>
  <si>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</si>
  <si>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</si>
  <si>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</si>
  <si>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</si>
  <si>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</si>
  <si>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</si>
  <si>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</si>
  <si>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</si>
  <si>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</si>
  <si>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</si>
  <si>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</si>
  <si>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</si>
  <si>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</si>
  <si>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</si>
  <si>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</si>
  <si>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</si>
  <si>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</si>
  <si>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</si>
  <si>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</si>
  <si>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</si>
  <si>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</si>
  <si>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</si>
  <si>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</si>
  <si>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</si>
  <si>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</si>
  <si>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</si>
  <si>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</si>
  <si>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</si>
  <si>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</si>
  <si>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</si>
  <si>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</si>
  <si>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</si>
  <si>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</si>
  <si>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</si>
  <si>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</si>
  <si>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</si>
  <si>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</si>
  <si>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</si>
  <si>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</si>
  <si>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</si>
  <si>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</si>
  <si>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</si>
  <si>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</si>
  <si>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</si>
  <si>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</si>
  <si>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</si>
  <si>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</si>
  <si>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</si>
  <si>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</si>
  <si>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</si>
  <si>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</si>
  <si>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</si>
  <si>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</si>
  <si>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</si>
  <si>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</si>
  <si>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</si>
  <si>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</si>
  <si>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</si>
  <si>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</si>
  <si>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</si>
  <si>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</si>
  <si>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</si>
  <si>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</si>
  <si>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</si>
  <si>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</si>
  <si>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</si>
  <si>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</si>
  <si>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</si>
  <si>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</si>
  <si>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</si>
  <si>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</si>
  <si>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</si>
  <si>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</si>
  <si>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</si>
  <si>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</si>
  <si>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</si>
  <si>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</si>
  <si>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</si>
  <si>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</si>
  <si>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</si>
  <si>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</si>
  <si>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</si>
  <si>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</si>
  <si>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</si>
  <si>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</si>
  <si>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</si>
  <si>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</si>
  <si>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</si>
  <si>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</si>
  <si>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</si>
  <si>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</si>
  <si>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</si>
  <si>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</si>
  <si>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</si>
  <si>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</si>
  <si>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</si>
  <si>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</si>
  <si>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</si>
  <si>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</si>
  <si>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</si>
  <si>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</si>
  <si>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</si>
  <si>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</si>
  <si>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</si>
  <si>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</si>
  <si>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</si>
  <si>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</si>
  <si>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</si>
  <si>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</si>
  <si>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</si>
  <si>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</si>
  <si>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</si>
  <si>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</si>
  <si>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</si>
  <si>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</si>
  <si>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</si>
  <si>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</si>
  <si>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</si>
  <si>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</si>
  <si>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</si>
  <si>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</si>
  <si>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</si>
  <si>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</si>
  <si>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</si>
  <si>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</si>
  <si>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</si>
  <si>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</si>
  <si>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</si>
  <si>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</si>
  <si>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</si>
  <si>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</si>
  <si>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</si>
  <si>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</si>
  <si>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</si>
  <si>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</si>
  <si>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</si>
  <si>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</si>
  <si>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</si>
  <si>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</si>
  <si>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</si>
  <si>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</si>
  <si>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</si>
  <si>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</si>
  <si>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</si>
  <si>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</si>
  <si>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</si>
  <si>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</si>
  <si>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</si>
  <si>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</si>
  <si>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</si>
  <si>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</si>
  <si>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</si>
  <si>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</si>
  <si>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</si>
  <si>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</si>
  <si>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</si>
  <si>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</si>
  <si>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</si>
  <si>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</si>
  <si>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</si>
  <si>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</si>
  <si>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</si>
  <si>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</si>
  <si>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</si>
  <si>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</si>
  <si>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</si>
  <si>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</si>
  <si>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</si>
  <si>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</si>
  <si>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</si>
  <si>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</si>
  <si>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</si>
  <si>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</si>
  <si>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</si>
  <si>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</si>
  <si>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</si>
  <si>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</si>
  <si>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</si>
  <si>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</si>
  <si>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</si>
  <si>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</si>
  <si>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</si>
  <si>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</si>
  <si>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</si>
  <si>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</si>
  <si>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</si>
  <si>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</si>
  <si>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</si>
  <si>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</si>
  <si>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</si>
  <si>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</si>
  <si>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</si>
  <si>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</si>
  <si>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</si>
  <si>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</si>
  <si>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</si>
  <si>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</si>
  <si>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</si>
  <si>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</si>
  <si>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</si>
  <si>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</si>
  <si>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</si>
  <si>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</si>
  <si>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</si>
  <si>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</si>
  <si>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</si>
  <si>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</si>
  <si>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</si>
  <si>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</si>
  <si>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</si>
  <si>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</si>
  <si>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</si>
  <si>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</si>
  <si>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</si>
  <si>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</si>
  <si>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</si>
  <si>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</si>
  <si>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</si>
  <si>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</si>
  <si>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</si>
  <si>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</si>
  <si>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</si>
  <si>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</si>
  <si>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</si>
  <si>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</si>
  <si>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</si>
  <si>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</si>
  <si>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</si>
  <si>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</si>
  <si>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</si>
  <si>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</si>
  <si>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</si>
  <si>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</si>
  <si>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</si>
  <si>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</si>
  <si>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</si>
  <si>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</si>
  <si>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</si>
  <si>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</si>
  <si>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</si>
  <si>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</si>
  <si>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</si>
  <si>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</si>
  <si>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</si>
  <si>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</si>
  <si>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</si>
  <si>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</si>
  <si>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</si>
  <si>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</si>
  <si>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</si>
  <si>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</si>
  <si>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</si>
  <si>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</si>
  <si>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</si>
  <si>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</si>
  <si>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</si>
  <si>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</si>
  <si>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</si>
  <si>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</si>
  <si>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</si>
  <si>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</si>
  <si>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</si>
  <si>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</si>
  <si>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</si>
  <si>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</si>
  <si>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</si>
  <si>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</si>
  <si>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</si>
  <si>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</si>
  <si>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</si>
  <si>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</si>
  <si>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</si>
  <si>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</si>
  <si>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</si>
  <si>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</si>
  <si>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</si>
  <si>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</si>
  <si>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</si>
  <si>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</si>
  <si>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</si>
  <si>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</si>
  <si>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</si>
  <si>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</si>
  <si>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</si>
  <si>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</si>
  <si>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</si>
  <si>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</si>
  <si>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</si>
  <si>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</si>
  <si>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</si>
  <si>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</si>
  <si>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</si>
  <si>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</si>
  <si>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</si>
  <si>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</si>
  <si>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</si>
  <si>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</si>
  <si>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</si>
  <si>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</si>
  <si>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</si>
  <si>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</si>
  <si>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</si>
  <si>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</si>
  <si>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</si>
  <si>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</si>
  <si>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</si>
  <si>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</si>
  <si>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</si>
  <si>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</si>
  <si>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</si>
  <si>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</si>
  <si>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</si>
  <si>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</si>
  <si>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</si>
  <si>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</si>
  <si>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</si>
  <si>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</si>
  <si>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</si>
  <si>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</si>
  <si>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</si>
  <si>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</si>
  <si>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</si>
  <si>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</si>
  <si>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</si>
  <si>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</si>
  <si>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</si>
  <si>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</si>
  <si>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</si>
  <si>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</si>
  <si>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</si>
  <si>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</si>
  <si>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</si>
  <si>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</si>
  <si>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</si>
  <si>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</si>
  <si>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</si>
  <si>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</si>
  <si>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</si>
  <si>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</si>
  <si>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</si>
  <si>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</si>
  <si>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</si>
  <si>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</si>
  <si>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</si>
  <si>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</si>
  <si>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</si>
  <si>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</si>
  <si>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</si>
  <si>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</si>
  <si>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</si>
  <si>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</si>
  <si>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</si>
  <si>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</si>
  <si>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</si>
  <si>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</si>
  <si>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</si>
  <si>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</si>
  <si>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</si>
  <si>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</si>
  <si>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</si>
  <si>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</si>
  <si>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</si>
  <si>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</si>
  <si>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</si>
  <si>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</si>
  <si>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</si>
  <si>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</si>
  <si>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</si>
  <si>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</si>
  <si>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</si>
  <si>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</si>
  <si>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</si>
  <si>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</si>
  <si>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</si>
  <si>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</si>
  <si>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</si>
  <si>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</si>
  <si>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</si>
  <si>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</si>
  <si>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</si>
  <si>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</si>
  <si>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</si>
  <si>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</si>
  <si>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</si>
  <si>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</si>
  <si>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</si>
  <si>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</si>
  <si>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</si>
  <si>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</si>
  <si>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</si>
  <si>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</si>
  <si>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</si>
  <si>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</si>
  <si>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</si>
  <si>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</si>
  <si>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</si>
  <si>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</si>
  <si>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</si>
  <si>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</si>
  <si>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</si>
  <si>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</si>
  <si>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</si>
  <si>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</si>
  <si>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</si>
  <si>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</si>
  <si>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</si>
  <si>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</si>
  <si>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</si>
  <si>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</si>
  <si>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</si>
  <si>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</si>
  <si>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</si>
  <si>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</si>
  <si>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</si>
  <si>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</si>
  <si>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</si>
  <si>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</si>
  <si>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</si>
  <si>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</si>
  <si>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</si>
  <si>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</si>
  <si>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</si>
  <si>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</si>
  <si>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</si>
  <si>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</si>
  <si>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</si>
  <si>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</si>
  <si>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</si>
  <si>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</si>
  <si>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</si>
  <si>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</si>
  <si>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</si>
  <si>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</si>
  <si>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</si>
  <si>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</si>
  <si>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</si>
  <si>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</si>
  <si>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</si>
  <si>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</si>
  <si>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</si>
  <si>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</si>
  <si>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</si>
  <si>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</si>
  <si>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</si>
  <si>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</si>
  <si>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</si>
  <si>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</si>
  <si>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</si>
  <si>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</si>
  <si>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</si>
  <si>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</si>
  <si>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</si>
  <si>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</si>
  <si>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</si>
  <si>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</si>
  <si>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</si>
  <si>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</si>
  <si>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</si>
  <si>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</si>
  <si>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</si>
  <si>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</si>
  <si>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</si>
  <si>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</si>
  <si>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</si>
  <si>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</si>
  <si>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</si>
  <si>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</si>
  <si>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</si>
  <si>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</si>
  <si>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</si>
  <si>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</si>
  <si>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</si>
  <si>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</si>
  <si>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</si>
  <si>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</si>
  <si>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</si>
  <si>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</si>
  <si>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</si>
  <si>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</si>
  <si>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</si>
  <si>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</si>
  <si>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</si>
  <si>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</si>
  <si>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</si>
  <si>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</si>
  <si>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</si>
  <si>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</si>
  <si>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</si>
  <si>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</si>
  <si>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</si>
  <si>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</si>
  <si>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</si>
  <si>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</si>
  <si>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</si>
  <si>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</si>
  <si>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</si>
  <si>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</si>
  <si>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</si>
  <si>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</si>
  <si>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</si>
  <si>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</si>
  <si>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</si>
  <si>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</si>
  <si>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</si>
  <si>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</si>
  <si>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</si>
  <si>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</si>
  <si>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</si>
  <si>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</si>
  <si>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</si>
  <si>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</si>
  <si>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</si>
  <si>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</si>
  <si>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</si>
  <si>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</si>
  <si>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</si>
  <si>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</si>
  <si>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</si>
  <si>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</si>
  <si>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</si>
  <si>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</si>
  <si>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</si>
  <si>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</si>
  <si>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</si>
  <si>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</si>
  <si>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</si>
  <si>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</si>
  <si>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</si>
  <si>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</si>
  <si>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</si>
  <si>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</si>
  <si>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</si>
  <si>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</si>
  <si>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</si>
  <si>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</si>
  <si>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</si>
  <si>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</si>
  <si>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</si>
  <si>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</si>
  <si>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</si>
  <si>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</si>
  <si>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</si>
  <si>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</si>
  <si>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</si>
  <si>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</si>
  <si>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</si>
  <si>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</si>
  <si>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</si>
  <si>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</si>
  <si>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</si>
  <si>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</si>
  <si>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</si>
  <si>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</si>
  <si>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</si>
  <si>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</si>
  <si>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</si>
  <si>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</si>
  <si>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</si>
  <si>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</si>
  <si>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</si>
  <si>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</si>
  <si>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</si>
  <si>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</si>
  <si>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</si>
  <si>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</si>
  <si>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</si>
  <si>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</si>
  <si>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</si>
  <si>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</si>
  <si>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</si>
  <si>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</si>
  <si>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</si>
  <si>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</si>
  <si>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</si>
  <si>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</si>
  <si>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</si>
  <si>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</si>
  <si>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</si>
  <si>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</si>
  <si>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</si>
  <si>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</si>
  <si>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</si>
  <si>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</si>
  <si>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</si>
  <si>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</si>
  <si>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</si>
  <si>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</si>
  <si>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</si>
  <si>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</si>
  <si>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</si>
  <si>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</si>
  <si>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</si>
  <si>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</si>
  <si>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</si>
  <si>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</si>
  <si>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</si>
  <si>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</si>
  <si>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</si>
  <si>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</si>
  <si>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</si>
  <si>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</si>
  <si>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</si>
  <si>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</si>
  <si>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</si>
  <si>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</si>
  <si>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</si>
  <si>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</si>
  <si>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</si>
  <si>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</si>
  <si>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</si>
  <si>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</si>
  <si>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</si>
  <si>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</si>
  <si>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</si>
  <si>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</si>
  <si>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</si>
  <si>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</si>
  <si>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</si>
  <si>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</si>
  <si>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</si>
  <si>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</si>
  <si>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</si>
  <si>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</si>
  <si>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</si>
  <si>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</si>
  <si>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</si>
  <si>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</si>
  <si>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</si>
  <si>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</si>
  <si>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</si>
  <si>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</si>
  <si>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</si>
  <si>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</si>
  <si>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</si>
  <si>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</si>
  <si>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</si>
  <si>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</si>
  <si>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</si>
  <si>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</si>
  <si>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</si>
  <si>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</si>
  <si>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</si>
  <si>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</si>
  <si>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</si>
  <si>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</si>
  <si>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</si>
  <si>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</si>
  <si>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</si>
  <si>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</si>
  <si>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</si>
  <si>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</si>
  <si>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</si>
  <si>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</si>
  <si>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</si>
  <si>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</si>
  <si>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</si>
  <si>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</si>
  <si>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</si>
  <si>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</si>
  <si>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</si>
  <si>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</si>
  <si>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</si>
  <si>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</si>
  <si>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</si>
  <si>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</si>
  <si>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</si>
  <si>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</si>
  <si>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</si>
  <si>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</si>
  <si>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</si>
  <si>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</si>
  <si>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</si>
  <si>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</si>
  <si>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</si>
  <si>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</si>
  <si>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</si>
  <si>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</si>
  <si>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</si>
  <si>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</si>
  <si>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</si>
  <si>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</si>
  <si>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</si>
  <si>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</si>
  <si>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</si>
  <si>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</si>
  <si>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</si>
  <si>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</si>
  <si>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</si>
  <si>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</si>
  <si>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</si>
  <si>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</si>
  <si>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</si>
  <si>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</si>
  <si>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</si>
  <si>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</si>
  <si>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</si>
  <si>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</si>
  <si>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</si>
  <si>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</si>
  <si>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</si>
  <si>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</si>
  <si>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</si>
  <si>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</si>
  <si>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</si>
  <si>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</si>
  <si>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</si>
  <si>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</si>
  <si>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</si>
  <si>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</si>
  <si>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</si>
  <si>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</si>
  <si>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</si>
  <si>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</si>
  <si>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</si>
  <si>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</si>
  <si>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</si>
  <si>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</si>
  <si>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</si>
  <si>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</si>
  <si>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</si>
  <si>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</si>
  <si>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</si>
  <si>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</si>
  <si>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</si>
  <si>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</si>
  <si>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</si>
  <si>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</si>
  <si>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</si>
  <si>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</si>
  <si>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</si>
  <si>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</si>
  <si>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</si>
  <si>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</si>
  <si>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</si>
  <si>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</si>
  <si>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</si>
  <si>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</si>
  <si>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</si>
  <si>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</si>
  <si>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</si>
  <si>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</si>
  <si>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</si>
  <si>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</si>
  <si>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</si>
  <si>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</si>
  <si>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</si>
  <si>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</si>
  <si>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</si>
  <si>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</si>
  <si>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</si>
  <si>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</si>
  <si>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</si>
  <si>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</si>
  <si>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</si>
  <si>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</si>
  <si>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</si>
  <si>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</si>
  <si>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</si>
  <si>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</si>
  <si>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</si>
  <si>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</si>
  <si>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</si>
  <si>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</si>
  <si>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</si>
  <si>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</si>
  <si>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</si>
  <si>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</si>
  <si>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</si>
  <si>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</si>
  <si>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</si>
  <si>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</si>
  <si>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</si>
  <si>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</si>
  <si>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</si>
  <si>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</si>
  <si>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</si>
  <si>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</si>
  <si>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</si>
  <si>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</si>
  <si>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</si>
  <si>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</si>
  <si>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</si>
  <si>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</si>
  <si>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</si>
  <si>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</si>
  <si>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</si>
  <si>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</si>
  <si>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</si>
  <si>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</si>
  <si>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</si>
  <si>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</si>
  <si>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</si>
  <si>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</si>
  <si>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</si>
  <si>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</si>
  <si>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</si>
  <si>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</si>
  <si>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</si>
  <si>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</si>
  <si>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</si>
  <si>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</si>
  <si>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</si>
  <si>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</si>
  <si>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</si>
  <si>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</si>
  <si>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</si>
  <si>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</si>
  <si>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</si>
  <si>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</si>
  <si>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</si>
  <si>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</si>
  <si>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</si>
  <si>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</si>
  <si>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</si>
  <si>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</si>
  <si>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</si>
  <si>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</si>
  <si>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</si>
  <si>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</si>
  <si>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</si>
  <si>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</si>
  <si>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</si>
  <si>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</si>
  <si>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</si>
  <si>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</si>
  <si>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</si>
  <si>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</si>
  <si>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</si>
  <si>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</si>
  <si>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</si>
  <si>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</si>
  <si>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</si>
  <si>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</si>
  <si>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</si>
  <si>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</si>
  <si>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</si>
  <si>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</si>
  <si>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</si>
  <si>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</si>
  <si>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</si>
  <si>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</si>
  <si>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</si>
  <si>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</si>
  <si>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</si>
  <si>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</si>
  <si>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</si>
  <si>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</si>
  <si>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</si>
  <si>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</si>
  <si>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</si>
  <si>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</si>
  <si>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</si>
  <si>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</si>
  <si>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欧红伟</t>
  </si>
  <si>
    <t>梁津</t>
  </si>
  <si>
    <t>抵押</t>
  </si>
  <si>
    <t>抵押价格</t>
  </si>
  <si>
    <t>企业</t>
  </si>
  <si>
    <t>商业</t>
  </si>
  <si>
    <t>车库</t>
  </si>
  <si>
    <t>出让</t>
  </si>
  <si>
    <t>Ⅵ-通1</t>
  </si>
  <si>
    <t>地上</t>
  </si>
  <si>
    <t>办公楼</t>
  </si>
  <si>
    <t>底商</t>
  </si>
  <si>
    <t>地下</t>
  </si>
  <si>
    <t>办公</t>
    <phoneticPr fontId="7" type="noConversion"/>
  </si>
  <si>
    <t>商业</t>
    <phoneticPr fontId="7" type="noConversion"/>
  </si>
  <si>
    <t>地下车库</t>
    <phoneticPr fontId="7" type="noConversion"/>
  </si>
  <si>
    <t>楼层</t>
    <phoneticPr fontId="3" type="noConversion"/>
  </si>
  <si>
    <t>面积</t>
    <phoneticPr fontId="3" type="noConversion"/>
  </si>
  <si>
    <t>租金</t>
    <phoneticPr fontId="3" type="noConversion"/>
  </si>
  <si>
    <t>收益</t>
    <phoneticPr fontId="3" type="noConversion"/>
  </si>
  <si>
    <t>合计</t>
    <phoneticPr fontId="3" type="noConversion"/>
  </si>
  <si>
    <t>地块名称</t>
  </si>
  <si>
    <t>城市</t>
  </si>
  <si>
    <t>用地性质</t>
  </si>
  <si>
    <t>区县</t>
  </si>
  <si>
    <t>土地位置</t>
  </si>
  <si>
    <t>建设用地面积(㎡)</t>
  </si>
  <si>
    <t>规划建筑面积(㎡)</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</si>
  <si>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</si>
  <si>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</si>
  <si>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</si>
  <si>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</si>
  <si>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</si>
  <si>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</si>
  <si>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</si>
  <si>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</si>
  <si>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</si>
  <si>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</si>
  <si>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</si>
  <si>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</si>
  <si>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</si>
  <si>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</si>
  <si>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</si>
  <si>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</si>
  <si>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</si>
  <si>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</si>
  <si>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</si>
  <si>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</si>
  <si>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</si>
  <si>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</si>
  <si>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</si>
  <si>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</si>
  <si>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</si>
  <si>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</si>
  <si>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</si>
  <si>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</si>
  <si>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</si>
  <si>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</si>
  <si>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</si>
  <si>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</si>
  <si>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</si>
  <si>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</si>
  <si>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</si>
  <si>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</si>
  <si>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</si>
  <si>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</si>
  <si>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</si>
  <si>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</si>
  <si>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</si>
  <si>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</si>
  <si>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</si>
  <si>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</si>
  <si>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</si>
  <si>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</si>
  <si>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</si>
  <si>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</si>
  <si>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</si>
  <si>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</si>
  <si>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</si>
  <si>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</si>
  <si>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</si>
  <si>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</si>
  <si>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</si>
  <si>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</si>
  <si>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</si>
  <si>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</si>
  <si>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</si>
  <si>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</si>
  <si>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</si>
  <si>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</si>
  <si>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</si>
  <si>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</si>
  <si>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</si>
  <si>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</si>
  <si>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</si>
  <si>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</si>
  <si>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</si>
  <si>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</si>
  <si>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</si>
  <si>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</si>
  <si>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</si>
  <si>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</si>
  <si>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</si>
  <si>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</si>
  <si>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</si>
  <si>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</si>
  <si>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</si>
  <si>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</si>
  <si>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</si>
  <si>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</si>
  <si>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</si>
  <si>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</si>
  <si>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</si>
  <si>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</si>
  <si>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</si>
  <si>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正常</t>
  </si>
  <si>
    <t>商业、综合</t>
    <phoneticPr fontId="3" type="noConversion"/>
  </si>
  <si>
    <t>商业、综合</t>
  </si>
  <si>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3" type="noConversion"/>
  </si>
  <si>
    <r>
      <rPr>
        <sz val="11"/>
        <color indexed="8"/>
        <rFont val="宋体"/>
        <family val="3"/>
        <charset val="134"/>
      </rPr>
      <t>商业</t>
    </r>
    <r>
      <rPr>
        <sz val="11"/>
        <color indexed="8"/>
        <rFont val="Arial"/>
        <family val="2"/>
      </rPr>
      <t>35.1</t>
    </r>
    <r>
      <rPr>
        <sz val="11"/>
        <color indexed="8"/>
        <rFont val="宋体"/>
        <family val="3"/>
        <charset val="134"/>
      </rPr>
      <t>、综合</t>
    </r>
    <r>
      <rPr>
        <sz val="11"/>
        <color indexed="8"/>
        <rFont val="Arial"/>
        <family val="2"/>
      </rPr>
      <t>45.1</t>
    </r>
    <phoneticPr fontId="3" type="noConversion"/>
  </si>
  <si>
    <t>一般</t>
  </si>
  <si>
    <t>较好</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</si>
  <si>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</si>
  <si>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</si>
  <si>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</si>
  <si>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</si>
  <si>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</si>
  <si>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</si>
  <si>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</si>
  <si>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次干道</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</si>
  <si>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</si>
  <si>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</si>
  <si>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</si>
  <si>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</si>
  <si>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</si>
  <si>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</si>
  <si>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</si>
  <si>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</si>
  <si>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</si>
  <si>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</si>
  <si>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</si>
  <si>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</si>
  <si>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</si>
  <si>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</si>
  <si>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</si>
  <si>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</si>
  <si>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</si>
  <si>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</si>
  <si>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楼面地价</t>
  </si>
  <si>
    <t>双面临街</t>
  </si>
  <si>
    <r>
      <rPr>
        <sz val="11"/>
        <rFont val="宋体"/>
        <family val="3"/>
        <charset val="134"/>
      </rPr>
      <t>城市次干道</t>
    </r>
    <r>
      <rPr>
        <sz val="11"/>
        <rFont val="Arial"/>
        <family val="2"/>
      </rPr>
      <t>——</t>
    </r>
    <r>
      <rPr>
        <sz val="11"/>
        <rFont val="宋体"/>
        <family val="3"/>
        <charset val="134"/>
      </rPr>
      <t>滨河中路</t>
    </r>
    <phoneticPr fontId="3" type="noConversion"/>
  </si>
  <si>
    <t>比例较适宜</t>
  </si>
  <si>
    <t>车库—办公</t>
  </si>
  <si>
    <t>不动产收益法（商业）</t>
  </si>
  <si>
    <t>不动产收益法（商业）</t>
    <phoneticPr fontId="14" type="noConversion"/>
  </si>
  <si>
    <t>不动产收益法（办公）</t>
  </si>
  <si>
    <t>不动产收益法（办公）</t>
    <phoneticPr fontId="14" type="noConversion"/>
  </si>
  <si>
    <t>不动产收益法（车库）</t>
  </si>
  <si>
    <t>不动产收益法（车库）</t>
    <phoneticPr fontId="14" type="noConversion"/>
  </si>
  <si>
    <t>钢混</t>
  </si>
  <si>
    <t>押一</t>
  </si>
  <si>
    <t>比较法-住宅、综合</t>
  </si>
  <si>
    <t>剩余法-待开发</t>
  </si>
  <si>
    <t>2017-1-0902-F05DYGJ1</t>
    <phoneticPr fontId="6" type="noConversion"/>
  </si>
  <si>
    <t>通州区运河核心区Ⅷ-14-1地块F3其他类多功能用地项目商务金融（办公、商业及地下车库）用地</t>
    <phoneticPr fontId="6" type="noConversion"/>
  </si>
  <si>
    <t>鹏瑞利美融加三（北京）置业有限公司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</si>
</sst>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0" fillId="0" borderId="0" xfId="0" applyFill="1" applyAlignment="1"/>
    <xf numFmtId="0" fontId="71" fillId="5" borderId="42"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0" fontId="17" fillId="2" borderId="19"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2662</v>
      </c>
      <c r="B1" s="2921" t="s">
        <v>2759</v>
      </c>
    </row>
    <row r="2" spans="1:55" s="2925" customFormat="1" ht="15" thickTop="1">
      <c r="A2" s="2923" t="s">
        <v>2666</v>
      </c>
      <c r="B2" s="2924" t="str">
        <f>'预评函-封皮'!B37</f>
        <v>北京市通州区运河核心区Ⅷ-14-1地块F3其他类多功能用地项目商务金融（办公、商业及地下车库）用地出让国有建设用地使用权抵押价格预评估</v>
      </c>
      <c r="AX2" s="2926"/>
      <c r="AZ2" s="2926"/>
      <c r="BA2" s="2927"/>
      <c r="BC2" s="2927"/>
    </row>
    <row r="3" spans="1:55" s="2928" customFormat="1">
      <c r="A3" s="2907" t="s">
        <v>2667</v>
      </c>
      <c r="B3" s="2910" t="str">
        <f>'预评函-封皮'!B40</f>
        <v>鹏瑞利美融加三（北京）置业有限公司</v>
      </c>
    </row>
    <row r="4" spans="1:55" s="2909" customFormat="1">
      <c r="A4" s="2907" t="s">
        <v>2668</v>
      </c>
      <c r="B4" s="2908" t="str">
        <f>'预评函-封皮'!B46</f>
        <v>欧红伟、梁津</v>
      </c>
      <c r="N4" s="2909" t="str">
        <f>'预评函-1'!A28</f>
        <v/>
      </c>
    </row>
    <row r="5" spans="1:55" s="2922" customFormat="1" ht="15" thickBot="1">
      <c r="A5" s="2929" t="s">
        <v>2669</v>
      </c>
      <c r="B5" s="2930" t="str">
        <f>'预评函-封皮'!B49</f>
        <v>康正预评字2017-1-0902-F05DYGJ1号</v>
      </c>
    </row>
    <row r="6" spans="1:55" s="2931" customFormat="1" ht="15" thickTop="1">
      <c r="A6" s="2923" t="s">
        <v>2711</v>
      </c>
      <c r="B6" s="2924" t="str">
        <f>'预评函-1'!A4</f>
        <v>受贵公司委托，我公司对北京市通州区运河核心区Ⅷ-14-1地块F3其他类多功能用地项目商务金融（办公、商业及地下车库）用地出让国有建设用地使用权抵押价格进行了预评估。</v>
      </c>
      <c r="AM6" s="2932"/>
    </row>
    <row r="7" spans="1:55" s="2906" customFormat="1">
      <c r="A7" s="2907" t="s">
        <v>2663</v>
      </c>
      <c r="B7" s="2908" t="str">
        <f>'预评函-1'!A6</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8" spans="1:55" s="2906" customFormat="1">
      <c r="A8" s="2907" t="s">
        <v>2664</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2714</v>
      </c>
      <c r="B9" s="290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2665</v>
      </c>
      <c r="B10" s="2908" t="str">
        <f>'预评函-1'!A11</f>
        <v>2017年10月24日（评估专业人员勘察现场之日）</v>
      </c>
    </row>
    <row r="11" spans="1:55" s="2906" customFormat="1">
      <c r="A11" s="2907" t="s">
        <v>2671</v>
      </c>
      <c r="B11" s="2908" t="str">
        <f>'预评函-1'!A14</f>
        <v>根据《国有土地使用证》[]，本次评估估价对象证载（地类）用途为。</v>
      </c>
    </row>
    <row r="12" spans="1:55" s="2906" customFormat="1">
      <c r="A12" s="2907" t="s">
        <v>2672</v>
      </c>
      <c r="B12" s="2908" t="str">
        <f>'预评函-1'!A15</f>
        <v>本次评估设定用途即为证载用途。</v>
      </c>
    </row>
    <row r="13" spans="1:55" s="2906" customFormat="1">
      <c r="A13" s="2907" t="s">
        <v>2673</v>
      </c>
      <c r="B13" s="2908" t="str">
        <f>'预评函-1'!A17</f>
        <v>根据委托估价方介绍及评估专业人员现场勘查，本次评估估价对象实际土地开发程度为红线外市政基础设施达“七通”（即、、、、、、）、宗地红线内场地平整。</v>
      </c>
    </row>
    <row r="14" spans="1:55" s="2906" customFormat="1">
      <c r="A14" s="2907" t="s">
        <v>2674</v>
      </c>
      <c r="B14" s="2908" t="str">
        <f>'预评函-1'!A18</f>
        <v>。本次评估设定土地开发程度为红线外市政基础设施达“七通”、宗地红线内场地平整。</v>
      </c>
    </row>
    <row r="15" spans="1:55" s="2906" customFormat="1">
      <c r="A15" s="2907" t="s">
        <v>2670</v>
      </c>
      <c r="B15" s="2908" t="str">
        <f>'预评函-1'!A20</f>
        <v>根据《国有土地使用证》[]，估价对象（分摊）出让国有建设用地使用权面积为9522.63平方米。根据《建设工程规划许可证》[]、《出让合同》[]，估价对象规划建筑面积为95241.88平方米。</v>
      </c>
    </row>
    <row r="16" spans="1:55" s="2906" customFormat="1">
      <c r="A16" s="2907" t="s">
        <v>2675</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17" spans="1:48" s="2906" customFormat="1">
      <c r="A17" s="2907" t="s">
        <v>2676</v>
      </c>
      <c r="B17" s="2908" t="str">
        <f>'预评函-1'!A23</f>
        <v>本次评估设定估价对象剩余土地使用年限为。</v>
      </c>
    </row>
    <row r="18" spans="1:48" s="2906" customFormat="1">
      <c r="A18" s="2907" t="s">
        <v>2677</v>
      </c>
      <c r="B18" s="2908" t="str">
        <f>'预评函-1'!A25</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19" spans="1:48" s="2906" customFormat="1">
      <c r="A19" s="2907" t="s">
        <v>2678</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2679</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2680</v>
      </c>
      <c r="B21" s="2930" t="str">
        <f>'预评函-1'!A28</f>
        <v/>
      </c>
    </row>
    <row r="22" spans="1:48" ht="15" thickTop="1">
      <c r="A22" s="2918" t="s">
        <v>2681</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2682</v>
      </c>
      <c r="B23" s="2908" t="str">
        <f>'预评函-2'!K2</f>
        <v>估价期日：2017年10月24日</v>
      </c>
    </row>
    <row r="24" spans="1:48">
      <c r="A24" s="2907" t="s">
        <v>2683</v>
      </c>
      <c r="B24" s="2908" t="str">
        <f>'预评函-2'!R2</f>
        <v>估价期日的国有建设用地使用权性质：出让</v>
      </c>
    </row>
    <row r="25" spans="1:48">
      <c r="A25" s="2907" t="s">
        <v>2739</v>
      </c>
      <c r="B25" s="2908" t="str">
        <f>'预评函-2'!A3</f>
        <v>估价期日土地使用者</v>
      </c>
    </row>
    <row r="26" spans="1:48">
      <c r="A26" s="2907" t="s">
        <v>2715</v>
      </c>
      <c r="B26" s="2908" t="str">
        <f>'预评函-2'!A5</f>
        <v>中信开发</v>
      </c>
    </row>
    <row r="27" spans="1:48">
      <c r="A27" s="2907" t="s">
        <v>2740</v>
      </c>
      <c r="B27" s="2908" t="str">
        <f>'预评函-2'!B3</f>
        <v>宗地编号/不动产单元号</v>
      </c>
    </row>
    <row r="28" spans="1:48">
      <c r="A28" s="2907" t="s">
        <v>2716</v>
      </c>
      <c r="B28" s="2908" t="str">
        <f>'预评函-2'!B5</f>
        <v>11111111111</v>
      </c>
    </row>
    <row r="29" spans="1:48">
      <c r="A29" s="2907" t="s">
        <v>2742</v>
      </c>
      <c r="B29" s="2908">
        <f>'预评函-2'!C5</f>
        <v>22</v>
      </c>
    </row>
    <row r="30" spans="1:48">
      <c r="A30" s="2907" t="s">
        <v>2743</v>
      </c>
      <c r="B30" s="2908" t="str">
        <f>'预评函-2'!D3</f>
        <v>土地使用证编号/不动产权证书编号</v>
      </c>
    </row>
    <row r="31" spans="1:48">
      <c r="A31" s="2907" t="s">
        <v>2717</v>
      </c>
      <c r="B31" s="2908" t="str">
        <f>'预评函-2'!D5</f>
        <v>京国土字第111号</v>
      </c>
    </row>
    <row r="32" spans="1:48">
      <c r="A32" s="2907" t="s">
        <v>2718</v>
      </c>
      <c r="B32" s="2908">
        <f>'预评函-2'!E5</f>
        <v>0</v>
      </c>
      <c r="AV32" s="2912"/>
    </row>
    <row r="33" spans="1:2">
      <c r="A33" s="2907" t="s">
        <v>2719</v>
      </c>
      <c r="B33" s="2908">
        <f>'预评函-2'!F5</f>
        <v>258</v>
      </c>
    </row>
    <row r="34" spans="1:2">
      <c r="A34" s="2907" t="s">
        <v>2720</v>
      </c>
      <c r="B34" s="2908">
        <f>'预评函-2'!G5</f>
        <v>0</v>
      </c>
    </row>
    <row r="35" spans="1:2">
      <c r="A35" s="2907" t="s">
        <v>2721</v>
      </c>
      <c r="B35" s="2908">
        <f>'预评函-2'!H5</f>
        <v>1.5</v>
      </c>
    </row>
    <row r="36" spans="1:2">
      <c r="A36" s="2907" t="s">
        <v>2722</v>
      </c>
      <c r="B36" s="2908">
        <f>'预评函-2'!I5</f>
        <v>1.5</v>
      </c>
    </row>
    <row r="37" spans="1:2">
      <c r="A37" s="2907" t="s">
        <v>2723</v>
      </c>
      <c r="B37" s="2908">
        <f>'预评函-2'!J5</f>
        <v>1.5</v>
      </c>
    </row>
    <row r="38" spans="1:2">
      <c r="A38" s="2907" t="s">
        <v>2724</v>
      </c>
      <c r="B38" s="2908" t="str">
        <f>'预评函-2'!K5</f>
        <v>红线外七通、宗地红线内</v>
      </c>
    </row>
    <row r="39" spans="1:2">
      <c r="A39" s="2907" t="s">
        <v>2725</v>
      </c>
      <c r="B39" s="2908" t="str">
        <f>'预评函-2'!L5</f>
        <v>红线外七通、宗地红线内场地</v>
      </c>
    </row>
    <row r="40" spans="1:2">
      <c r="A40" s="2907" t="s">
        <v>2744</v>
      </c>
      <c r="B40" s="2908" t="str">
        <f>'预评函-2'!M3</f>
        <v>（剩余）土地使用年限/年</v>
      </c>
    </row>
    <row r="41" spans="1:2">
      <c r="A41" s="2907" t="s">
        <v>2726</v>
      </c>
      <c r="B41" s="2908">
        <f>'预评函-2'!M5</f>
        <v>0</v>
      </c>
    </row>
    <row r="42" spans="1:2">
      <c r="A42" s="2907" t="s">
        <v>2745</v>
      </c>
      <c r="B42" s="2908" t="str">
        <f>'预评函-2'!N3</f>
        <v>（分摊）出让国有建设用地使用权面积/㎡</v>
      </c>
    </row>
    <row r="43" spans="1:2">
      <c r="A43" s="2907" t="s">
        <v>2727</v>
      </c>
      <c r="B43" s="2908">
        <f>'预评函-2'!N5</f>
        <v>9522.6299999999992</v>
      </c>
    </row>
    <row r="44" spans="1:2">
      <c r="A44" s="2907" t="s">
        <v>2746</v>
      </c>
      <c r="B44" s="2908" t="str">
        <f>'预评函-2'!O3</f>
        <v>规划建筑面积/㎡</v>
      </c>
    </row>
    <row r="45" spans="1:2">
      <c r="A45" s="2907" t="s">
        <v>2728</v>
      </c>
      <c r="B45" s="2908">
        <f>'预评函-2'!O5</f>
        <v>95241.88</v>
      </c>
    </row>
    <row r="46" spans="1:2">
      <c r="A46" s="2907" t="s">
        <v>2729</v>
      </c>
      <c r="B46" s="2908">
        <f ca="1">'预评函-2'!P5</f>
        <v>101683</v>
      </c>
    </row>
    <row r="47" spans="1:2">
      <c r="A47" s="2907" t="s">
        <v>2730</v>
      </c>
      <c r="B47" s="2908">
        <f ca="1">'预评函-2'!Q5</f>
        <v>10167</v>
      </c>
    </row>
    <row r="48" spans="1:2">
      <c r="A48" s="2907" t="s">
        <v>2731</v>
      </c>
      <c r="B48" s="2908">
        <f ca="1">'预评函-2'!R5</f>
        <v>96829</v>
      </c>
    </row>
    <row r="49" spans="1:2">
      <c r="A49" s="2907" t="s">
        <v>2747</v>
      </c>
      <c r="B49" s="2908" t="str">
        <f>'预评函-2'!A6</f>
        <v>抵押价格</v>
      </c>
    </row>
    <row r="50" spans="1:2">
      <c r="A50" s="2907" t="s">
        <v>2732</v>
      </c>
      <c r="B50" s="2908">
        <f ca="1">'预评函-2'!R6</f>
        <v>96829</v>
      </c>
    </row>
    <row r="51" spans="1:2">
      <c r="A51" s="2907" t="s">
        <v>2748</v>
      </c>
      <c r="B51" s="2908" t="str">
        <f>'预评函-2'!A7</f>
        <v>——</v>
      </c>
    </row>
    <row r="52" spans="1:2">
      <c r="A52" s="2907" t="s">
        <v>2733</v>
      </c>
      <c r="B52" s="2908" t="str">
        <f>'预评函-2'!R7</f>
        <v>——</v>
      </c>
    </row>
    <row r="53" spans="1:2">
      <c r="A53" s="2907" t="s">
        <v>2749</v>
      </c>
      <c r="B53" s="2908" t="str">
        <f>'预评函-2'!A8</f>
        <v>——</v>
      </c>
    </row>
    <row r="54" spans="1:2" s="2922" customFormat="1" ht="15" thickBot="1">
      <c r="A54" s="2929" t="s">
        <v>2734</v>
      </c>
      <c r="B54" s="2930" t="str">
        <f>'预评函-2'!R8</f>
        <v>——</v>
      </c>
    </row>
    <row r="55" spans="1:2" ht="15" thickTop="1">
      <c r="A55" s="2918" t="s">
        <v>2684</v>
      </c>
      <c r="B55" s="2919" t="str">
        <f>'预评函-3'!A2</f>
        <v>1.权利限制：根据估价对象《不动产权证书》原件、《国有土地使用权》复印件，截至估价期日，估价对象抵押权未见登记。未设定租赁等其他他项权利。</v>
      </c>
    </row>
    <row r="56" spans="1:2">
      <c r="A56" s="2907" t="s">
        <v>2685</v>
      </c>
      <c r="B56" s="2908" t="str">
        <f>'预评函-3'!A3</f>
        <v>2.基础设施条件：估价对象实际开发程度为红线外七通、宗地红线内；本次评估设定开发程度为红线外七通、宗地红线内场地。</v>
      </c>
    </row>
    <row r="57" spans="1:2">
      <c r="A57" s="2907" t="s">
        <v>2686</v>
      </c>
      <c r="B57" s="2908" t="str">
        <f>'预评函-3'!A4</f>
        <v>3.估价规划限制条件：详见《建设工程规划许可证》[]、《出让合同》[]。</v>
      </c>
    </row>
    <row r="58" spans="1:2" s="2922" customFormat="1" ht="15" thickBot="1">
      <c r="A58" s="2929" t="s">
        <v>2735</v>
      </c>
      <c r="B58" s="2930" t="str">
        <f>'预评函-3'!A5</f>
        <v>4.影响价格的其他限定条件：无。</v>
      </c>
    </row>
    <row r="59" spans="1:2" ht="15" thickTop="1">
      <c r="A59" s="2918" t="s">
        <v>2687</v>
      </c>
      <c r="B59" s="2919" t="str">
        <f>'预评函-3'!A8</f>
        <v>2.本《评估意见函》仅供金融机构进行内部审核使用，不做其他目的之用。</v>
      </c>
    </row>
    <row r="60" spans="1:2">
      <c r="A60" s="2907" t="s">
        <v>2688</v>
      </c>
      <c r="B60" s="2908" t="str">
        <f>'预评函-3'!A9</f>
        <v>3.抵押双方在办理抵押登记手续时，应使用本公司出具的正式《土地估价报告》，特提请报告使用者注意。</v>
      </c>
    </row>
    <row r="61" spans="1:2">
      <c r="A61" s="2907" t="s">
        <v>2690</v>
      </c>
      <c r="B61" s="2908" t="str">
        <f>'预评函-3'!A10</f>
        <v>4.估价师所知悉的法定优先受偿款情况为：</v>
      </c>
    </row>
    <row r="62" spans="1:2">
      <c r="A62" s="2907" t="s">
        <v>2689</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2691</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2692</v>
      </c>
      <c r="B64" s="2913" t="str">
        <f>'预评函-3'!A13</f>
        <v>（3）。</v>
      </c>
    </row>
    <row r="65" spans="1:2">
      <c r="A65" s="2907" t="s">
        <v>2693</v>
      </c>
      <c r="B65" s="2914" t="str">
        <f>'预评函-3'!A14</f>
        <v>综上，本次评估不存在估价师知悉的法定优先受偿款</v>
      </c>
    </row>
    <row r="66" spans="1:2">
      <c r="A66" s="2907" t="s">
        <v>2694</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2695</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2698</v>
      </c>
      <c r="B68" s="2933">
        <f>'预评函-3'!D30</f>
        <v>42558</v>
      </c>
    </row>
    <row r="69" spans="1:2" ht="15" thickTop="1">
      <c r="A69" s="2918" t="s">
        <v>2696</v>
      </c>
      <c r="B69" s="2919" t="str">
        <f>'预评函-3'!A20</f>
        <v>欧红伟</v>
      </c>
    </row>
    <row r="70" spans="1:2">
      <c r="A70" s="2907" t="s">
        <v>2696</v>
      </c>
      <c r="B70" s="2914">
        <f ca="1">'预评函-3'!B20</f>
        <v>2000110082</v>
      </c>
    </row>
    <row r="71" spans="1:2">
      <c r="A71" s="2907" t="s">
        <v>2697</v>
      </c>
      <c r="B71" s="2908" t="str">
        <f>'预评函-3'!A21</f>
        <v>梁津</v>
      </c>
    </row>
    <row r="72" spans="1:2" s="2922" customFormat="1" ht="15" thickBot="1">
      <c r="A72" s="2929" t="s">
        <v>2697</v>
      </c>
      <c r="B72" s="2935">
        <f ca="1">'预评函-3'!B21</f>
        <v>96010014</v>
      </c>
    </row>
    <row r="73" spans="1:2" ht="15" thickTop="1">
      <c r="A73" s="2918" t="s">
        <v>2756</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2757</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2758</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2793</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1900</v>
      </c>
      <c r="B36" s="1657" t="s">
        <v>1901</v>
      </c>
    </row>
    <row r="37" spans="1:9" ht="28.5" customHeight="1">
      <c r="A37" s="1657"/>
      <c r="B37" s="3192" t="str">
        <f>项目基本情况!B1</f>
        <v>北京市通州区运河核心区Ⅷ-14-1地块F3其他类多功能用地项目商务金融（办公、商业及地下车库）用地出让国有建设用地使用权抵押价格预评估</v>
      </c>
      <c r="C37" s="3192"/>
      <c r="D37" s="3192"/>
      <c r="E37" s="3192"/>
      <c r="F37" s="3192"/>
      <c r="G37" s="3192"/>
      <c r="H37" s="3192"/>
      <c r="I37" s="3192"/>
    </row>
    <row r="38" spans="1:9">
      <c r="A38" s="1659"/>
      <c r="B38" s="1659"/>
    </row>
    <row r="39" spans="1:9">
      <c r="A39" s="1657" t="s">
        <v>1900</v>
      </c>
      <c r="B39" s="1657" t="s">
        <v>2047</v>
      </c>
    </row>
    <row r="40" spans="1:9">
      <c r="A40" s="1657"/>
      <c r="B40" s="1657" t="str">
        <f>项目基本情况!B5</f>
        <v>鹏瑞利美融加三（北京）置业有限公司</v>
      </c>
    </row>
    <row r="41" spans="1:9">
      <c r="A41" s="1657"/>
      <c r="B41" s="1657"/>
    </row>
    <row r="42" spans="1:9">
      <c r="A42" s="1657" t="s">
        <v>1900</v>
      </c>
      <c r="B42" s="1657" t="s">
        <v>2048</v>
      </c>
    </row>
    <row r="43" spans="1:9">
      <c r="A43" s="1657"/>
      <c r="B43" s="1657" t="s">
        <v>1902</v>
      </c>
    </row>
    <row r="44" spans="1:9">
      <c r="A44" s="1657"/>
      <c r="B44" s="1657"/>
    </row>
    <row r="45" spans="1:9">
      <c r="A45" s="1657" t="s">
        <v>1900</v>
      </c>
      <c r="B45" s="1657" t="s">
        <v>2046</v>
      </c>
    </row>
    <row r="46" spans="1:9" s="1657" customFormat="1" ht="12.75">
      <c r="B46" s="1657" t="str">
        <f>项目基本情况!K4</f>
        <v>欧红伟、梁津</v>
      </c>
    </row>
    <row r="47" spans="1:9">
      <c r="A47" s="1657"/>
      <c r="B47" s="1657"/>
    </row>
    <row r="48" spans="1:9">
      <c r="A48" s="1657" t="s">
        <v>1900</v>
      </c>
      <c r="B48" s="1657" t="s">
        <v>2049</v>
      </c>
    </row>
    <row r="49" spans="2:2">
      <c r="B49" s="1657" t="str">
        <f>"康正预评字"&amp;项目基本情况!B2&amp;"号"</f>
        <v>康正预评字2017-1-0902-F05DYGJ1号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56.25">
      <c r="A7" s="1799" t="s">
        <v>2753</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2017年10月24日（评估专业人员勘察现场之日）</v>
      </c>
    </row>
    <row r="12" spans="1:4" ht="18.75">
      <c r="A12" s="1801" t="s">
        <v>2026</v>
      </c>
    </row>
    <row r="13" spans="1:4" ht="18.75">
      <c r="A13" s="1795" t="s">
        <v>2950</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18.75">
      <c r="A21" s="1795" t="s">
        <v>2075</v>
      </c>
    </row>
    <row r="22" spans="1:1" ht="93.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IF(项目基本情况!B9="市场价格","——",IF(项目基本情况!E9="——","",定义!C57))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93.75">
      <c r="A7" s="2903" t="s">
        <v>2754</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2017年10月24日（评估专业人员勘察现场之日）</v>
      </c>
    </row>
    <row r="12" spans="1:4" ht="18.75">
      <c r="A12" s="1801" t="s">
        <v>2026</v>
      </c>
    </row>
    <row r="13" spans="1:4" ht="18.75">
      <c r="A13" s="1795" t="s">
        <v>2072</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5" t="s">
        <v>2755</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7" t="s">
        <v>2039</v>
      </c>
      <c r="B1" s="3197"/>
      <c r="C1" s="3197"/>
      <c r="D1" s="3197"/>
      <c r="E1" s="3197"/>
      <c r="F1" s="3197"/>
      <c r="G1" s="3197"/>
      <c r="H1" s="3197"/>
      <c r="I1" s="3197"/>
      <c r="J1" s="3197"/>
      <c r="K1" s="3197"/>
      <c r="L1" s="3197"/>
      <c r="M1" s="3197"/>
      <c r="N1" s="3197"/>
      <c r="O1" s="3197"/>
      <c r="P1" s="3197"/>
      <c r="Q1" s="3197"/>
      <c r="R1" s="3197"/>
    </row>
    <row r="2" spans="1:18">
      <c r="A2" s="1811" t="s">
        <v>2041</v>
      </c>
      <c r="B2" s="1811"/>
      <c r="C2" s="1811"/>
      <c r="D2" s="1811"/>
      <c r="E2" s="1811"/>
      <c r="F2" s="1811"/>
      <c r="G2" s="1811"/>
      <c r="H2" s="1811"/>
      <c r="I2" s="1812"/>
      <c r="J2" s="1812"/>
      <c r="K2" s="1813" t="str">
        <f>"估价期日："&amp;TEXT(项目基本情况!D3,"yyyy年m月d日;;")</f>
        <v>估价期日：2017年10月24日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8" t="s">
        <v>2030</v>
      </c>
      <c r="B3" s="3198" t="s">
        <v>2737</v>
      </c>
      <c r="C3" s="3199" t="s">
        <v>2031</v>
      </c>
      <c r="D3" s="3198" t="s">
        <v>2741</v>
      </c>
      <c r="E3" s="3193" t="s">
        <v>2032</v>
      </c>
      <c r="F3" s="3193"/>
      <c r="G3" s="3193"/>
      <c r="H3" s="3193" t="s">
        <v>2033</v>
      </c>
      <c r="I3" s="3193"/>
      <c r="J3" s="3193"/>
      <c r="K3" s="3199" t="s">
        <v>2034</v>
      </c>
      <c r="L3" s="3199" t="s">
        <v>2035</v>
      </c>
      <c r="M3" s="3198" t="s">
        <v>2738</v>
      </c>
      <c r="N3" s="3200" t="str">
        <f>"（分摊）"&amp;项目基本情况!B16&amp;"国有建设用地使用权面积/㎡"</f>
        <v>（分摊）出让国有建设用地使用权面积/㎡</v>
      </c>
      <c r="O3" s="3198" t="s">
        <v>2064</v>
      </c>
      <c r="P3" s="3199" t="s">
        <v>2044</v>
      </c>
      <c r="Q3" s="3199" t="s">
        <v>2065</v>
      </c>
      <c r="R3" s="3199" t="s">
        <v>2036</v>
      </c>
    </row>
    <row r="4" spans="1:18" ht="36.75" customHeight="1">
      <c r="A4" s="3198"/>
      <c r="B4" s="3198"/>
      <c r="C4" s="3199"/>
      <c r="D4" s="3198"/>
      <c r="E4" s="2678" t="s">
        <v>2043</v>
      </c>
      <c r="F4" s="2678" t="s">
        <v>2750</v>
      </c>
      <c r="G4" s="2678" t="s">
        <v>2037</v>
      </c>
      <c r="H4" s="2678" t="s">
        <v>2038</v>
      </c>
      <c r="I4" s="2678" t="s">
        <v>2751</v>
      </c>
      <c r="J4" s="2678" t="s">
        <v>2037</v>
      </c>
      <c r="K4" s="3199"/>
      <c r="L4" s="3199"/>
      <c r="M4" s="3198"/>
      <c r="N4" s="3200"/>
      <c r="O4" s="3198"/>
      <c r="P4" s="3199"/>
      <c r="Q4" s="3199"/>
      <c r="R4" s="3199"/>
    </row>
    <row r="5" spans="1:18" ht="135" customHeight="1">
      <c r="A5" s="1947" t="s">
        <v>2661</v>
      </c>
      <c r="B5" s="2897" t="s">
        <v>2659</v>
      </c>
      <c r="C5" s="2677">
        <v>22</v>
      </c>
      <c r="D5" s="2676" t="s">
        <v>2660</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9522.6299999999992</v>
      </c>
      <c r="O5" s="1814">
        <f>项目基本情况!C21</f>
        <v>95241.88</v>
      </c>
      <c r="P5" s="1814">
        <f ca="1">结果表!E42</f>
        <v>101683</v>
      </c>
      <c r="Q5" s="1814">
        <f ca="1">结果表!D42</f>
        <v>10167</v>
      </c>
      <c r="R5" s="1815">
        <f ca="1">结果表!C42</f>
        <v>96829</v>
      </c>
    </row>
    <row r="6" spans="1:18">
      <c r="A6" s="3194" t="str">
        <f>IF(项目基本情况!B9="市场价格","——","抵押价格")</f>
        <v>抵押价格</v>
      </c>
      <c r="B6" s="3195"/>
      <c r="C6" s="3195"/>
      <c r="D6" s="3195"/>
      <c r="E6" s="3195"/>
      <c r="F6" s="3195"/>
      <c r="G6" s="3195"/>
      <c r="H6" s="3195"/>
      <c r="I6" s="3195"/>
      <c r="J6" s="3195"/>
      <c r="K6" s="3195"/>
      <c r="L6" s="3195"/>
      <c r="M6" s="3195"/>
      <c r="N6" s="3195"/>
      <c r="O6" s="3195"/>
      <c r="P6" s="3195"/>
      <c r="Q6" s="3196"/>
      <c r="R6" s="1816">
        <f ca="1">结果表!O39</f>
        <v>96829</v>
      </c>
    </row>
    <row r="7" spans="1:18">
      <c r="A7" s="3194" t="str">
        <f>IF(项目基本情况!B9="市场价格","——",IF(项目基本情况!E8="已注销及未注销","抵押担保权已注销时的抵押价格","——"))</f>
        <v>——</v>
      </c>
      <c r="B7" s="3195"/>
      <c r="C7" s="3195"/>
      <c r="D7" s="3195"/>
      <c r="E7" s="3195"/>
      <c r="F7" s="3195"/>
      <c r="G7" s="3195"/>
      <c r="H7" s="3195"/>
      <c r="I7" s="3195"/>
      <c r="J7" s="3195"/>
      <c r="K7" s="3195"/>
      <c r="L7" s="3195"/>
      <c r="M7" s="3195"/>
      <c r="N7" s="3195"/>
      <c r="O7" s="3195"/>
      <c r="P7" s="3195"/>
      <c r="Q7" s="3196"/>
      <c r="R7" s="1816" t="str">
        <f>结果表!O40</f>
        <v>——</v>
      </c>
    </row>
    <row r="8" spans="1:18">
      <c r="A8" s="3194" t="str">
        <f>IF(项目基本情况!B9="市场价格","——",项目基本情况!E9)</f>
        <v>——</v>
      </c>
      <c r="B8" s="3195"/>
      <c r="C8" s="3195"/>
      <c r="D8" s="3195"/>
      <c r="E8" s="3195"/>
      <c r="F8" s="3195"/>
      <c r="G8" s="3195"/>
      <c r="H8" s="3195"/>
      <c r="I8" s="3195"/>
      <c r="J8" s="3195"/>
      <c r="K8" s="3195"/>
      <c r="L8" s="3195"/>
      <c r="M8" s="3195"/>
      <c r="N8" s="3195"/>
      <c r="O8" s="3195"/>
      <c r="P8" s="3195"/>
      <c r="Q8" s="3196"/>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2" t="s">
        <v>2066</v>
      </c>
      <c r="B1" s="3202"/>
      <c r="C1" s="3202"/>
      <c r="D1" s="3202"/>
    </row>
    <row r="2" spans="1:4" ht="47.25" customHeight="1">
      <c r="A2" s="3203" t="str">
        <f>"1.权利限制："&amp;项目基本情况!L24&amp;"未设定租赁等其他他项权利。"</f>
        <v>1.权利限制：根据估价对象《不动产权证书》原件、《国有土地使用权》复印件，截至估价期日，估价对象抵押权未见登记。未设定租赁等其他他项权利。</v>
      </c>
      <c r="B2" s="3203"/>
      <c r="C2" s="3203"/>
      <c r="D2" s="3203"/>
    </row>
    <row r="3" spans="1:4" ht="48" customHeight="1">
      <c r="A3" s="320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2"/>
      <c r="C3" s="3202"/>
      <c r="D3" s="3202"/>
    </row>
    <row r="4" spans="1:4" ht="36.75" customHeight="1">
      <c r="A4" s="3202" t="str">
        <f>"3.估价规划限制条件：详见"&amp;项目基本情况!E21&amp;"。"</f>
        <v>3.估价规划限制条件：详见《建设工程规划许可证》[]、《出让合同》[]。</v>
      </c>
      <c r="B4" s="3202"/>
      <c r="C4" s="3202"/>
      <c r="D4" s="3202"/>
    </row>
    <row r="5" spans="1:4">
      <c r="A5" s="3201" t="s">
        <v>2067</v>
      </c>
      <c r="B5" s="3201"/>
      <c r="C5" s="3201"/>
      <c r="D5" s="3201"/>
    </row>
    <row r="6" spans="1:4">
      <c r="A6" s="3202" t="s">
        <v>2045</v>
      </c>
      <c r="B6" s="3202"/>
      <c r="C6" s="3202"/>
      <c r="D6" s="3202"/>
    </row>
    <row r="7" spans="1:4" ht="33" customHeight="1">
      <c r="A7" s="3202" t="s">
        <v>2579</v>
      </c>
      <c r="B7" s="3202"/>
      <c r="C7" s="3202"/>
      <c r="D7" s="3202"/>
    </row>
    <row r="8" spans="1:4" ht="32.25" customHeight="1">
      <c r="A8" s="320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2"/>
      <c r="C8" s="3202"/>
      <c r="D8" s="3202"/>
    </row>
    <row r="9" spans="1:4" ht="33.75" customHeight="1">
      <c r="A9" s="320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2"/>
      <c r="C9" s="3202"/>
      <c r="D9" s="3202"/>
    </row>
    <row r="10" spans="1:4">
      <c r="A10" s="3202" t="str">
        <f>IF(项目基本情况!B8="抵押","4.估价师所知悉的法定优先受偿款情况为：","——")</f>
        <v>4.估价师所知悉的法定优先受偿款情况为：</v>
      </c>
      <c r="B10" s="3202"/>
      <c r="C10" s="3202"/>
      <c r="D10" s="3202"/>
    </row>
    <row r="11" spans="1:4" ht="37.5" customHeight="1">
      <c r="A11" s="320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4"/>
      <c r="C11" s="3204"/>
      <c r="D11" s="3204"/>
    </row>
    <row r="12" spans="1:4" ht="168" customHeight="1">
      <c r="A12" s="3201" t="s">
        <v>2069</v>
      </c>
      <c r="B12" s="3201"/>
      <c r="C12" s="3201"/>
      <c r="D12" s="3201"/>
    </row>
    <row r="13" spans="1:4">
      <c r="A13" s="3205" t="s">
        <v>2752</v>
      </c>
      <c r="B13" s="3205"/>
      <c r="C13" s="3205"/>
      <c r="D13" s="3205"/>
    </row>
    <row r="14" spans="1:4">
      <c r="A14" s="3204" t="str">
        <f>IF(项目基本情况!B8="抵押","综上，"&amp;结果表!K47,"——")</f>
        <v>综上，本次评估不存在估价师知悉的法定优先受偿款</v>
      </c>
      <c r="B14" s="3204"/>
      <c r="C14" s="3204"/>
      <c r="D14" s="3204"/>
    </row>
    <row r="15" spans="1:4" ht="58.5" customHeight="1">
      <c r="A15" s="320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2"/>
      <c r="C15" s="3202"/>
      <c r="D15" s="3202"/>
    </row>
    <row r="16" spans="1:4" ht="70.5" customHeight="1">
      <c r="A16" s="320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2"/>
      <c r="C16" s="3202"/>
      <c r="D16" s="3202"/>
    </row>
    <row r="17" spans="1:4">
      <c r="A17" s="3202" t="s">
        <v>2708</v>
      </c>
      <c r="B17" s="3202"/>
      <c r="C17" s="3202"/>
      <c r="D17" s="3202"/>
    </row>
    <row r="18" spans="1:4">
      <c r="A18" s="3202" t="s">
        <v>2700</v>
      </c>
      <c r="B18" s="3202"/>
      <c r="C18" s="3202"/>
      <c r="D18" s="3202"/>
    </row>
    <row r="19" spans="1:4">
      <c r="A19" s="2898" t="s">
        <v>2701</v>
      </c>
      <c r="B19" s="2898" t="s">
        <v>2702</v>
      </c>
      <c r="C19" s="2898" t="s">
        <v>2703</v>
      </c>
      <c r="D19" s="2898" t="s">
        <v>2704</v>
      </c>
    </row>
    <row r="20" spans="1:4">
      <c r="A20" s="2898" t="str">
        <f>项目基本情况!B4</f>
        <v>欧红伟</v>
      </c>
      <c r="B20" s="2898">
        <f ca="1">项目基本情况!C4</f>
        <v>2000110082</v>
      </c>
      <c r="C20" s="2900"/>
      <c r="D20" s="1804" t="s">
        <v>2709</v>
      </c>
    </row>
    <row r="21" spans="1:4">
      <c r="A21" s="2898" t="str">
        <f>项目基本情况!D4</f>
        <v>梁津</v>
      </c>
      <c r="B21" s="2898">
        <f ca="1">项目基本情况!E4</f>
        <v>96010014</v>
      </c>
      <c r="C21" s="2900"/>
      <c r="D21" s="1804" t="s">
        <v>2710</v>
      </c>
    </row>
    <row r="23" spans="1:4">
      <c r="A23" s="3202" t="s">
        <v>2705</v>
      </c>
      <c r="B23" s="3202"/>
      <c r="C23" s="3202"/>
      <c r="D23" s="3202"/>
    </row>
    <row r="24" spans="1:4">
      <c r="A24" s="2898" t="s">
        <v>2701</v>
      </c>
      <c r="B24" s="2898" t="s">
        <v>2706</v>
      </c>
      <c r="C24" s="2898" t="s">
        <v>2703</v>
      </c>
      <c r="D24" s="2898" t="s">
        <v>2704</v>
      </c>
    </row>
    <row r="25" spans="1:4">
      <c r="A25" s="2901" t="s">
        <v>2707</v>
      </c>
      <c r="B25" s="2898" t="s">
        <v>953</v>
      </c>
      <c r="C25" s="2900"/>
      <c r="D25" s="1804" t="s">
        <v>2710</v>
      </c>
    </row>
    <row r="29" spans="1:4">
      <c r="D29" s="2899" t="s">
        <v>2040</v>
      </c>
    </row>
    <row r="30" spans="1:4">
      <c r="D30" s="290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3" t="s">
        <v>53</v>
      </c>
      <c r="B15" s="3214" t="s">
        <v>847</v>
      </c>
      <c r="C15" s="3210"/>
    </row>
    <row r="16" spans="1:7" ht="14.25">
      <c r="A16" s="3213"/>
      <c r="B16" s="3211" t="s">
        <v>54</v>
      </c>
      <c r="C16" s="1174" t="s">
        <v>53</v>
      </c>
    </row>
    <row r="17" spans="1:3" ht="14.25">
      <c r="A17" s="3213"/>
      <c r="B17" s="3211"/>
      <c r="C17" s="1174" t="s">
        <v>55</v>
      </c>
    </row>
    <row r="18" spans="1:3" ht="14.25">
      <c r="A18" s="3213"/>
      <c r="B18" s="3211"/>
      <c r="C18" s="1174" t="s">
        <v>56</v>
      </c>
    </row>
    <row r="19" spans="1:3" ht="14.25">
      <c r="A19" s="3213"/>
      <c r="B19" s="3209" t="s">
        <v>57</v>
      </c>
      <c r="C19" s="3210"/>
    </row>
    <row r="20" spans="1:3" ht="14.25">
      <c r="A20" s="1175" t="s">
        <v>58</v>
      </c>
      <c r="B20" s="1176"/>
      <c r="C20" s="1177"/>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8" t="s">
        <v>838</v>
      </c>
    </row>
    <row r="25" spans="1:3" ht="14.25">
      <c r="A25" s="3212"/>
      <c r="B25" s="3216"/>
      <c r="C25" s="1178" t="s">
        <v>839</v>
      </c>
    </row>
    <row r="26" spans="1:3" ht="14.25">
      <c r="A26" s="3212"/>
      <c r="B26" s="3216"/>
      <c r="C26" s="1178" t="s">
        <v>840</v>
      </c>
    </row>
    <row r="27" spans="1:3" ht="14.25">
      <c r="A27" s="3212"/>
      <c r="B27" s="3216"/>
      <c r="C27" s="1178" t="s">
        <v>841</v>
      </c>
    </row>
    <row r="28" spans="1:3" ht="14.25">
      <c r="A28" s="3212"/>
      <c r="B28" s="3216"/>
      <c r="C28" s="1178" t="s">
        <v>842</v>
      </c>
    </row>
    <row r="29" spans="1:3" ht="14.25">
      <c r="A29" s="3212"/>
      <c r="B29" s="3216"/>
      <c r="C29" s="1178" t="s">
        <v>843</v>
      </c>
    </row>
    <row r="30" spans="1:3" ht="14.25">
      <c r="A30" s="3212"/>
      <c r="B30" s="3216"/>
      <c r="C30" s="1178" t="s">
        <v>844</v>
      </c>
    </row>
    <row r="31" spans="1:3" ht="14.25">
      <c r="A31" s="3212"/>
      <c r="B31" s="3216"/>
      <c r="C31" s="1178" t="s">
        <v>845</v>
      </c>
    </row>
    <row r="32" spans="1:3" ht="14.25">
      <c r="A32" s="3212"/>
      <c r="B32" s="3216"/>
      <c r="C32" s="1178" t="s">
        <v>1648</v>
      </c>
    </row>
    <row r="33" spans="1:3" ht="14.25">
      <c r="A33" s="3212"/>
      <c r="B33" s="3206" t="s">
        <v>1654</v>
      </c>
      <c r="C33" s="1178" t="s">
        <v>1649</v>
      </c>
    </row>
    <row r="34" spans="1:3" ht="14.25">
      <c r="A34" s="3212"/>
      <c r="B34" s="3207"/>
      <c r="C34" s="1183" t="s">
        <v>1650</v>
      </c>
    </row>
    <row r="35" spans="1:3" ht="14.25">
      <c r="A35" s="3212"/>
      <c r="B35" s="3207"/>
      <c r="C35" s="1184" t="s">
        <v>1651</v>
      </c>
    </row>
    <row r="36" spans="1:3" ht="14.25">
      <c r="A36" s="3212"/>
      <c r="B36" s="3207"/>
      <c r="C36" s="1184" t="s">
        <v>1652</v>
      </c>
    </row>
    <row r="37" spans="1:3" ht="14.25">
      <c r="A37" s="3212"/>
      <c r="B37" s="3208"/>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1906</v>
      </c>
      <c r="B2" s="1660">
        <f ca="1">TODAY()</f>
        <v>43032</v>
      </c>
      <c r="C2" s="2343" t="s">
        <v>1907</v>
      </c>
      <c r="D2" s="2344"/>
    </row>
    <row r="3" spans="1:6" ht="20.25" customHeight="1">
      <c r="A3" s="2346" t="s">
        <v>1908</v>
      </c>
      <c r="B3" s="2347" t="s">
        <v>1909</v>
      </c>
      <c r="C3" s="2347" t="s">
        <v>1910</v>
      </c>
      <c r="D3" s="2348" t="s">
        <v>1911</v>
      </c>
      <c r="E3" s="2347" t="s">
        <v>1912</v>
      </c>
      <c r="F3" s="2347" t="s">
        <v>1910</v>
      </c>
    </row>
    <row r="4" spans="1:6" ht="20.25" customHeight="1">
      <c r="A4" s="2347" t="s">
        <v>1913</v>
      </c>
      <c r="B4" s="2347">
        <f ca="1">IF(C4&lt;B2,"已过期",1119970066)</f>
        <v>1119970066</v>
      </c>
      <c r="C4" s="3036">
        <v>43849</v>
      </c>
      <c r="D4" s="2347" t="s">
        <v>1913</v>
      </c>
      <c r="E4" s="2347">
        <f ca="1">IF(F4&lt;B2,"已过期",96010014)</f>
        <v>96010014</v>
      </c>
      <c r="F4" s="3037">
        <v>47118</v>
      </c>
    </row>
    <row r="5" spans="1:6" ht="20.25" customHeight="1">
      <c r="A5" s="2347" t="s">
        <v>1914</v>
      </c>
      <c r="B5" s="2347">
        <f ca="1">IF(C5&lt;B2,"已过期",1119970074)</f>
        <v>1119970074</v>
      </c>
      <c r="C5" s="3036">
        <v>43849</v>
      </c>
      <c r="D5" s="2347" t="s">
        <v>1914</v>
      </c>
      <c r="E5" s="2347">
        <f ca="1">IF(F5&lt;B2,"已过期",2002110027)</f>
        <v>2002110027</v>
      </c>
      <c r="F5" s="3037">
        <v>46752</v>
      </c>
    </row>
    <row r="6" spans="1:6" ht="20.25" customHeight="1">
      <c r="A6" s="2347" t="s">
        <v>1915</v>
      </c>
      <c r="B6" s="2347">
        <f ca="1">IF(C6&lt;B2,"已过期",1119970111)</f>
        <v>1119970111</v>
      </c>
      <c r="C6" s="3036">
        <v>43849</v>
      </c>
      <c r="D6" s="2347" t="s">
        <v>1915</v>
      </c>
      <c r="E6" s="2347">
        <f ca="1">IF(F6&lt;B2,"已过期",94010078)</f>
        <v>94010078</v>
      </c>
      <c r="F6" s="3037">
        <v>46387</v>
      </c>
    </row>
    <row r="7" spans="1:6" ht="20.25" customHeight="1">
      <c r="A7" s="2347" t="s">
        <v>1916</v>
      </c>
      <c r="B7" s="2347">
        <f ca="1">IF(C7&lt;B2,"已过期",1120050019)</f>
        <v>1120050019</v>
      </c>
      <c r="C7" s="3036">
        <v>43359</v>
      </c>
      <c r="D7" s="2347" t="s">
        <v>1916</v>
      </c>
      <c r="E7" s="2347">
        <f ca="1">IF(F7&lt;B2,"已过期",2002110030)</f>
        <v>2002110030</v>
      </c>
      <c r="F7" s="3037">
        <v>46387</v>
      </c>
    </row>
    <row r="8" spans="1:6" ht="20.25" customHeight="1">
      <c r="A8" s="2347" t="s">
        <v>1917</v>
      </c>
      <c r="B8" s="2347">
        <f ca="1">IF(C8&lt;B2,"已过期",1120000080)</f>
        <v>1120000080</v>
      </c>
      <c r="C8" s="3036">
        <v>43849</v>
      </c>
      <c r="D8" s="2347" t="s">
        <v>1917</v>
      </c>
      <c r="E8" s="2347">
        <f ca="1">IF(F8&lt;B2,"已过期",2000110082)</f>
        <v>2000110082</v>
      </c>
      <c r="F8" s="3037">
        <v>46387</v>
      </c>
    </row>
    <row r="9" spans="1:6" ht="20.25" customHeight="1">
      <c r="A9" s="2347" t="s">
        <v>1918</v>
      </c>
      <c r="B9" s="2347">
        <f ca="1">IF(C9&lt;B2,"已过期",1419970001)</f>
        <v>1419970001</v>
      </c>
      <c r="C9" s="3036">
        <v>43867</v>
      </c>
      <c r="D9" s="2347" t="s">
        <v>1918</v>
      </c>
      <c r="E9" s="2347">
        <f ca="1">IF(F9&lt;B2,"已过期",2002110125)</f>
        <v>2002110125</v>
      </c>
      <c r="F9" s="3037">
        <v>47118</v>
      </c>
    </row>
    <row r="10" spans="1:6" ht="20.25" customHeight="1">
      <c r="A10" s="2347" t="s">
        <v>1919</v>
      </c>
      <c r="B10" s="2347">
        <f ca="1">IF(C10&lt;B2,"已过期",1120060040)</f>
        <v>1120060040</v>
      </c>
      <c r="C10" s="3036">
        <v>43483</v>
      </c>
      <c r="D10" s="2347" t="s">
        <v>1919</v>
      </c>
      <c r="E10" s="2347">
        <f ca="1">IF(F10&lt;B2,"已过期",2004110096)</f>
        <v>2004110096</v>
      </c>
      <c r="F10" s="3037">
        <v>47118</v>
      </c>
    </row>
    <row r="11" spans="1:6" ht="20.25" customHeight="1">
      <c r="A11" s="2347" t="s">
        <v>1920</v>
      </c>
      <c r="B11" s="2347">
        <f ca="1">IF(C11&lt;B2,"已过期",1120100036)</f>
        <v>1120100036</v>
      </c>
      <c r="C11" s="3036">
        <v>43622</v>
      </c>
      <c r="D11" s="2347" t="s">
        <v>1920</v>
      </c>
      <c r="E11" s="2347">
        <f ca="1">IF(F11&lt;B2,"已过期",2010110070)</f>
        <v>2010110070</v>
      </c>
      <c r="F11" s="3037">
        <v>47907</v>
      </c>
    </row>
    <row r="12" spans="1:6" ht="20.25" customHeight="1">
      <c r="A12" s="2347"/>
      <c r="B12" s="2347"/>
      <c r="C12" s="3036"/>
      <c r="D12" s="2347"/>
      <c r="E12" s="2347"/>
      <c r="F12" s="2347"/>
    </row>
    <row r="13" spans="1:6" ht="20.25" customHeight="1">
      <c r="A13" s="2347" t="s">
        <v>1921</v>
      </c>
      <c r="B13" s="2347">
        <f ca="1">IF(C13&lt;B2,"已过期",1120070131)</f>
        <v>1120070131</v>
      </c>
      <c r="C13" s="3036">
        <v>43814</v>
      </c>
      <c r="D13" s="2347" t="s">
        <v>1921</v>
      </c>
      <c r="E13" s="2347">
        <v>2014110011</v>
      </c>
      <c r="F13" s="3037">
        <v>49302</v>
      </c>
    </row>
    <row r="14" spans="1:6" ht="20.25" customHeight="1">
      <c r="A14" s="2347" t="s">
        <v>1922</v>
      </c>
      <c r="B14" s="2347">
        <f ca="1">IF(C14&lt;B2,"已过期",1120130020)</f>
        <v>1120130020</v>
      </c>
      <c r="C14" s="3036">
        <v>43622</v>
      </c>
      <c r="D14" s="2347"/>
      <c r="E14" s="2347"/>
      <c r="F14" s="2347"/>
    </row>
    <row r="15" spans="1:6" ht="20.25" customHeight="1">
      <c r="A15" s="2347" t="s">
        <v>2578</v>
      </c>
      <c r="B15" s="2347">
        <v>1120070085</v>
      </c>
      <c r="C15" s="3036">
        <v>43814</v>
      </c>
      <c r="D15" s="2347" t="s">
        <v>2578</v>
      </c>
      <c r="E15" s="2347">
        <v>2004110128</v>
      </c>
      <c r="F15" s="3037">
        <v>47118</v>
      </c>
    </row>
    <row r="16" spans="1:6" ht="20.25" customHeight="1">
      <c r="A16" s="2347" t="s">
        <v>1923</v>
      </c>
      <c r="B16" s="2347">
        <f ca="1">IF(C16&lt;B2,"已过期",1120140022)</f>
        <v>1120140022</v>
      </c>
      <c r="C16" s="3036">
        <v>44029</v>
      </c>
      <c r="D16" s="2347" t="s">
        <v>1923</v>
      </c>
      <c r="E16" s="2347">
        <f ca="1">IF(F16&lt;B2,"已过期",2008110059)</f>
        <v>2008110059</v>
      </c>
      <c r="F16" s="3037">
        <v>47177</v>
      </c>
    </row>
    <row r="17" spans="1:7" ht="20.25" customHeight="1">
      <c r="A17" s="2347"/>
      <c r="B17" s="2347"/>
      <c r="C17" s="3036"/>
      <c r="D17" s="2347"/>
      <c r="E17" s="2347"/>
      <c r="F17" s="3037"/>
    </row>
    <row r="18" spans="1:7" ht="20.25" customHeight="1">
      <c r="A18" s="2347"/>
      <c r="B18" s="2347"/>
      <c r="C18" s="3036"/>
      <c r="D18" s="2347"/>
      <c r="E18" s="2347"/>
      <c r="F18" s="3037"/>
    </row>
    <row r="19" spans="1:7" ht="20.25" customHeight="1">
      <c r="A19" s="2347"/>
      <c r="B19" s="2347"/>
      <c r="C19" s="3036"/>
      <c r="D19" s="2347"/>
      <c r="E19" s="2347"/>
      <c r="F19" s="2347"/>
    </row>
    <row r="20" spans="1:7" ht="20.25" customHeight="1">
      <c r="A20" s="2347"/>
      <c r="B20" s="2347"/>
      <c r="C20" s="3036"/>
      <c r="D20" s="2347"/>
      <c r="E20" s="2347"/>
      <c r="F20" s="2347"/>
    </row>
    <row r="21" spans="1:7" ht="20.25" customHeight="1">
      <c r="A21" s="2347"/>
      <c r="B21" s="2347"/>
      <c r="C21" s="3036"/>
      <c r="D21" s="2347" t="s">
        <v>1924</v>
      </c>
      <c r="E21" s="2347">
        <f ca="1">IF(F21&lt;B2,"已过期",2011110090)</f>
        <v>2011110090</v>
      </c>
      <c r="F21" s="3037">
        <v>48302</v>
      </c>
    </row>
    <row r="22" spans="1:7" ht="20.25" customHeight="1">
      <c r="A22" s="2347" t="s">
        <v>1925</v>
      </c>
      <c r="B22" s="2347">
        <f ca="1">IF(C22&lt;B2,"已过期",1120020033)</f>
        <v>1120020033</v>
      </c>
      <c r="C22" s="3036">
        <v>43304</v>
      </c>
      <c r="D22" s="2347" t="s">
        <v>1925</v>
      </c>
      <c r="E22" s="2347">
        <f ca="1">IF(F22&lt;B2,"已过期",2000110137)</f>
        <v>2000110137</v>
      </c>
      <c r="F22" s="3037">
        <v>46387</v>
      </c>
    </row>
    <row r="23" spans="1:7" ht="20.25" customHeight="1">
      <c r="A23" s="2347" t="s">
        <v>1926</v>
      </c>
      <c r="B23" s="2347">
        <f ca="1">IF(C23&lt;B2,"已过期",1120130048)</f>
        <v>1120130048</v>
      </c>
      <c r="C23" s="3036">
        <v>43686</v>
      </c>
      <c r="D23" s="2347"/>
      <c r="E23" s="2347"/>
      <c r="F23" s="2347"/>
    </row>
    <row r="24" spans="1:7" s="2351" customFormat="1" ht="20.25" customHeight="1">
      <c r="A24" s="2349" t="s">
        <v>2054</v>
      </c>
      <c r="B24" s="2349" t="s">
        <v>2054</v>
      </c>
      <c r="C24" s="3036"/>
      <c r="D24" s="3038" t="s">
        <v>2054</v>
      </c>
      <c r="E24" s="2349" t="s">
        <v>2054</v>
      </c>
      <c r="F24" s="2350"/>
    </row>
    <row r="25" spans="1:7" ht="20.25" customHeight="1">
      <c r="A25" s="3217" t="s">
        <v>1927</v>
      </c>
      <c r="B25" s="3217"/>
      <c r="C25" s="3217"/>
      <c r="D25" s="3217"/>
      <c r="E25" s="3217"/>
      <c r="F25" s="3217"/>
      <c r="G25" s="3217"/>
    </row>
    <row r="26" spans="1:7" ht="20.25" customHeight="1">
      <c r="A26" s="3218" t="s">
        <v>1928</v>
      </c>
      <c r="B26" s="3218"/>
      <c r="C26" s="3218"/>
      <c r="D26" s="3218" t="s">
        <v>1929</v>
      </c>
      <c r="E26" s="3218"/>
      <c r="F26" s="3218"/>
    </row>
    <row r="27" spans="1:7" s="2355" customFormat="1" ht="20.25" customHeight="1">
      <c r="A27" s="2352" t="s">
        <v>1930</v>
      </c>
      <c r="B27" s="2353" t="s">
        <v>1931</v>
      </c>
      <c r="C27" s="2353" t="s">
        <v>1932</v>
      </c>
      <c r="D27" s="2354" t="s">
        <v>1930</v>
      </c>
      <c r="E27" s="2353" t="s">
        <v>1931</v>
      </c>
      <c r="F27" s="2353" t="s">
        <v>1932</v>
      </c>
    </row>
    <row r="28" spans="1:7" s="2355" customFormat="1" ht="20.25" customHeight="1">
      <c r="A28" s="2356" t="s">
        <v>1933</v>
      </c>
      <c r="B28" s="2356" t="s">
        <v>1934</v>
      </c>
      <c r="C28" s="2357">
        <v>43725</v>
      </c>
      <c r="D28" s="2356" t="s">
        <v>1935</v>
      </c>
      <c r="E28" s="2356" t="s">
        <v>1936</v>
      </c>
      <c r="F28" s="2358">
        <v>44377</v>
      </c>
    </row>
    <row r="29" spans="1:7" s="2355" customFormat="1" ht="20.25" customHeight="1">
      <c r="A29" s="2356"/>
      <c r="B29" s="2356"/>
      <c r="C29" s="2359"/>
      <c r="D29" s="2356" t="s">
        <v>1937</v>
      </c>
      <c r="E29" s="2360" t="s">
        <v>2952</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2549</v>
      </c>
      <c r="R1" s="2610" t="s">
        <v>2543</v>
      </c>
      <c r="S1" s="6" t="s">
        <v>146</v>
      </c>
      <c r="T1" s="7" t="s">
        <v>147</v>
      </c>
      <c r="U1" s="6" t="s">
        <v>148</v>
      </c>
      <c r="V1" s="6" t="s">
        <v>149</v>
      </c>
      <c r="W1" s="1006" t="s">
        <v>875</v>
      </c>
    </row>
    <row r="2" spans="1:23">
      <c r="A2" s="8" t="s">
        <v>73</v>
      </c>
      <c r="B2" s="8" t="s">
        <v>150</v>
      </c>
      <c r="C2" s="1554" t="s">
        <v>1708</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2544</v>
      </c>
      <c r="S2" s="9" t="s">
        <v>75</v>
      </c>
      <c r="T2" s="9" t="s">
        <v>76</v>
      </c>
      <c r="U2" s="9" t="s">
        <v>75</v>
      </c>
      <c r="V2" s="9" t="s">
        <v>77</v>
      </c>
      <c r="W2" s="9" t="s">
        <v>876</v>
      </c>
    </row>
    <row r="3" spans="1:23">
      <c r="A3" s="8" t="s">
        <v>78</v>
      </c>
      <c r="B3" s="10" t="s">
        <v>151</v>
      </c>
      <c r="C3" s="1555" t="s">
        <v>1709</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2545</v>
      </c>
      <c r="S3" s="9" t="s">
        <v>84</v>
      </c>
      <c r="T3" s="9" t="s">
        <v>85</v>
      </c>
      <c r="U3" s="9" t="s">
        <v>84</v>
      </c>
      <c r="V3" s="9" t="s">
        <v>86</v>
      </c>
      <c r="W3" s="9" t="s">
        <v>877</v>
      </c>
    </row>
    <row r="4" spans="1:23">
      <c r="A4" s="8" t="s">
        <v>87</v>
      </c>
      <c r="B4" s="8" t="s">
        <v>152</v>
      </c>
      <c r="C4" s="1554" t="s">
        <v>1710</v>
      </c>
      <c r="D4" s="9" t="s">
        <v>1995</v>
      </c>
      <c r="E4" s="9" t="s">
        <v>88</v>
      </c>
      <c r="F4" s="9" t="s">
        <v>89</v>
      </c>
      <c r="G4" s="9">
        <v>70</v>
      </c>
      <c r="H4" s="9" t="s">
        <v>90</v>
      </c>
      <c r="I4" s="9" t="s">
        <v>91</v>
      </c>
      <c r="K4" s="9" t="s">
        <v>92</v>
      </c>
      <c r="L4" s="9" t="s">
        <v>92</v>
      </c>
      <c r="M4" s="9" t="s">
        <v>92</v>
      </c>
      <c r="N4" s="9" t="s">
        <v>92</v>
      </c>
      <c r="O4" s="9" t="s">
        <v>92</v>
      </c>
      <c r="P4" s="1008" t="s">
        <v>761</v>
      </c>
      <c r="Q4" s="9" t="s">
        <v>92</v>
      </c>
      <c r="R4" s="1008" t="s">
        <v>2546</v>
      </c>
      <c r="S4" s="9" t="s">
        <v>92</v>
      </c>
      <c r="T4" s="9" t="s">
        <v>93</v>
      </c>
      <c r="U4" s="9" t="s">
        <v>92</v>
      </c>
      <c r="W4" s="9" t="s">
        <v>878</v>
      </c>
    </row>
    <row r="5" spans="1:23">
      <c r="A5" s="8" t="s">
        <v>94</v>
      </c>
      <c r="B5" s="8" t="s">
        <v>153</v>
      </c>
      <c r="C5" s="1554" t="s">
        <v>1711</v>
      </c>
      <c r="F5" s="9" t="s">
        <v>95</v>
      </c>
      <c r="H5" s="9" t="s">
        <v>70</v>
      </c>
      <c r="I5" s="9" t="s">
        <v>96</v>
      </c>
      <c r="K5" s="9" t="s">
        <v>97</v>
      </c>
      <c r="L5" s="9" t="s">
        <v>97</v>
      </c>
      <c r="M5" s="9" t="s">
        <v>97</v>
      </c>
      <c r="N5" s="9" t="s">
        <v>97</v>
      </c>
      <c r="O5" s="9" t="s">
        <v>97</v>
      </c>
      <c r="P5" s="1008" t="s">
        <v>547</v>
      </c>
      <c r="Q5" s="9" t="s">
        <v>97</v>
      </c>
      <c r="R5" s="1008" t="s">
        <v>2547</v>
      </c>
      <c r="S5" s="9" t="s">
        <v>97</v>
      </c>
      <c r="T5" s="9" t="s">
        <v>98</v>
      </c>
      <c r="U5" s="9" t="s">
        <v>97</v>
      </c>
      <c r="W5" s="9" t="s">
        <v>879</v>
      </c>
    </row>
    <row r="6" spans="1:23">
      <c r="A6" s="8" t="s">
        <v>99</v>
      </c>
      <c r="B6" s="1151" t="s">
        <v>1642</v>
      </c>
      <c r="C6" s="1556" t="s">
        <v>1712</v>
      </c>
      <c r="F6" s="9" t="s">
        <v>71</v>
      </c>
      <c r="H6" s="9" t="s">
        <v>72</v>
      </c>
      <c r="I6" s="9" t="s">
        <v>100</v>
      </c>
      <c r="K6" s="9" t="s">
        <v>101</v>
      </c>
      <c r="L6" s="9" t="s">
        <v>101</v>
      </c>
      <c r="M6" s="9" t="s">
        <v>101</v>
      </c>
      <c r="N6" s="9" t="s">
        <v>101</v>
      </c>
      <c r="O6" s="9" t="s">
        <v>101</v>
      </c>
      <c r="P6" s="1008" t="s">
        <v>882</v>
      </c>
      <c r="Q6" s="9" t="s">
        <v>101</v>
      </c>
      <c r="R6" s="1008" t="s">
        <v>2548</v>
      </c>
      <c r="S6" s="9" t="s">
        <v>101</v>
      </c>
      <c r="T6" s="9"/>
      <c r="U6" s="9" t="s">
        <v>101</v>
      </c>
      <c r="W6" s="9" t="s">
        <v>880</v>
      </c>
    </row>
    <row r="7" spans="1:23">
      <c r="A7" s="8" t="s">
        <v>102</v>
      </c>
      <c r="B7" s="8" t="s">
        <v>103</v>
      </c>
      <c r="C7" s="1554" t="s">
        <v>1713</v>
      </c>
      <c r="F7" s="9" t="s">
        <v>154</v>
      </c>
      <c r="H7" s="9" t="s">
        <v>104</v>
      </c>
      <c r="I7" s="9" t="s">
        <v>105</v>
      </c>
    </row>
    <row r="8" spans="1:23">
      <c r="A8" s="8" t="s">
        <v>106</v>
      </c>
      <c r="B8" s="8" t="s">
        <v>107</v>
      </c>
      <c r="C8" s="1554" t="s">
        <v>1714</v>
      </c>
      <c r="F8" s="9" t="s">
        <v>155</v>
      </c>
      <c r="H8" s="9"/>
      <c r="I8" s="9" t="s">
        <v>108</v>
      </c>
    </row>
    <row r="9" spans="1:23">
      <c r="A9" s="8" t="s">
        <v>109</v>
      </c>
      <c r="B9" s="8" t="s">
        <v>156</v>
      </c>
      <c r="C9" s="1554" t="s">
        <v>1715</v>
      </c>
      <c r="F9" s="9" t="s">
        <v>110</v>
      </c>
      <c r="H9" s="9"/>
    </row>
    <row r="10" spans="1:23">
      <c r="A10" s="8" t="s">
        <v>111</v>
      </c>
      <c r="B10" s="8" t="s">
        <v>157</v>
      </c>
      <c r="C10" s="1554" t="s">
        <v>1716</v>
      </c>
      <c r="F10" s="9" t="s">
        <v>6</v>
      </c>
    </row>
    <row r="11" spans="1:23">
      <c r="A11" s="8" t="s">
        <v>112</v>
      </c>
      <c r="B11" s="8" t="s">
        <v>158</v>
      </c>
      <c r="C11" s="1554" t="s">
        <v>1717</v>
      </c>
    </row>
    <row r="12" spans="1:23">
      <c r="A12" s="8" t="s">
        <v>113</v>
      </c>
      <c r="B12" s="8" t="s">
        <v>159</v>
      </c>
      <c r="C12" s="1554" t="s">
        <v>1718</v>
      </c>
    </row>
    <row r="13" spans="1:23">
      <c r="A13" s="8" t="s">
        <v>114</v>
      </c>
      <c r="B13" s="8" t="s">
        <v>160</v>
      </c>
      <c r="C13" s="1554" t="s">
        <v>1719</v>
      </c>
    </row>
    <row r="14" spans="1:23">
      <c r="A14" s="8" t="s">
        <v>115</v>
      </c>
      <c r="B14" s="8" t="s">
        <v>161</v>
      </c>
      <c r="C14" s="1557" t="s">
        <v>1895</v>
      </c>
    </row>
    <row r="15" spans="1:23">
      <c r="A15" s="8" t="s">
        <v>116</v>
      </c>
      <c r="B15" s="3191" t="s">
        <v>3133</v>
      </c>
      <c r="C15" s="1557"/>
    </row>
    <row r="16" spans="1:23">
      <c r="A16" s="8" t="s">
        <v>117</v>
      </c>
      <c r="B16" s="3191" t="s">
        <v>3135</v>
      </c>
      <c r="C16" s="1557"/>
    </row>
    <row r="17" spans="1:3">
      <c r="A17" s="8" t="s">
        <v>118</v>
      </c>
      <c r="B17" s="3191" t="s">
        <v>3137</v>
      </c>
      <c r="C17" s="1557"/>
    </row>
    <row r="18" spans="1:3">
      <c r="A18" s="8" t="s">
        <v>119</v>
      </c>
      <c r="B18" s="3146" t="s">
        <v>2965</v>
      </c>
      <c r="C18" s="1557"/>
    </row>
    <row r="19" spans="1:3">
      <c r="A19" s="8" t="s">
        <v>120</v>
      </c>
      <c r="B19" s="3146" t="s">
        <v>2973</v>
      </c>
      <c r="C19" s="1557"/>
    </row>
    <row r="20" spans="1:3">
      <c r="A20" s="8" t="s">
        <v>121</v>
      </c>
      <c r="B20" s="8" t="s">
        <v>1643</v>
      </c>
      <c r="C20" s="1557"/>
    </row>
    <row r="21" spans="1:3">
      <c r="A21" s="8" t="s">
        <v>122</v>
      </c>
      <c r="B21" s="8" t="s">
        <v>1643</v>
      </c>
      <c r="C21" s="1557"/>
    </row>
    <row r="22" spans="1:3">
      <c r="A22" s="8" t="s">
        <v>123</v>
      </c>
      <c r="B22" s="8" t="s">
        <v>1643</v>
      </c>
      <c r="C22" s="1557"/>
    </row>
    <row r="23" spans="1:3">
      <c r="A23" s="8" t="s">
        <v>124</v>
      </c>
      <c r="B23" s="8" t="s">
        <v>1643</v>
      </c>
      <c r="C23" s="1557"/>
    </row>
    <row r="24" spans="1:3">
      <c r="A24" s="8" t="s">
        <v>12</v>
      </c>
      <c r="B24" s="8" t="s">
        <v>1643</v>
      </c>
      <c r="C24" s="1557"/>
    </row>
    <row r="25" spans="1:3">
      <c r="A25" s="8" t="s">
        <v>125</v>
      </c>
      <c r="B25" s="8" t="s">
        <v>1643</v>
      </c>
      <c r="C25" s="1557"/>
    </row>
    <row r="26" spans="1:3">
      <c r="A26" s="8" t="s">
        <v>126</v>
      </c>
      <c r="B26" s="8" t="s">
        <v>1643</v>
      </c>
      <c r="C26" s="1557"/>
    </row>
    <row r="27" spans="1:3">
      <c r="A27" s="8" t="s">
        <v>1643</v>
      </c>
      <c r="B27" s="8" t="s">
        <v>1643</v>
      </c>
      <c r="C27" s="1557"/>
    </row>
    <row r="28" spans="1:3">
      <c r="A28" s="8" t="s">
        <v>1643</v>
      </c>
      <c r="B28" s="8" t="s">
        <v>1643</v>
      </c>
      <c r="C28" s="1557"/>
    </row>
    <row r="29" spans="1:3">
      <c r="A29" s="8" t="s">
        <v>1643</v>
      </c>
      <c r="B29" s="8" t="s">
        <v>1643</v>
      </c>
      <c r="C29" s="1557"/>
    </row>
    <row r="30" spans="1:3">
      <c r="A30" s="8" t="s">
        <v>1643</v>
      </c>
      <c r="B30" s="8" t="s">
        <v>1643</v>
      </c>
      <c r="C30" s="1557"/>
    </row>
    <row r="31" spans="1:3">
      <c r="A31" s="8" t="s">
        <v>1643</v>
      </c>
      <c r="B31" s="8" t="s">
        <v>1643</v>
      </c>
      <c r="C31" s="1557"/>
    </row>
    <row r="32" spans="1:3">
      <c r="A32" s="8" t="s">
        <v>1643</v>
      </c>
      <c r="B32" s="8" t="s">
        <v>1643</v>
      </c>
      <c r="C32" s="1557"/>
    </row>
    <row r="33" spans="1:3">
      <c r="A33" s="8" t="s">
        <v>1643</v>
      </c>
      <c r="B33" s="8" t="s">
        <v>1643</v>
      </c>
      <c r="C33" s="1557"/>
    </row>
    <row r="34" spans="1:3">
      <c r="A34" s="8" t="s">
        <v>1643</v>
      </c>
      <c r="B34" s="8" t="s">
        <v>1643</v>
      </c>
      <c r="C34" s="1557"/>
    </row>
    <row r="35" spans="1:3">
      <c r="A35" s="8" t="s">
        <v>1643</v>
      </c>
      <c r="B35" s="8" t="s">
        <v>1643</v>
      </c>
      <c r="C35" s="1557"/>
    </row>
    <row r="36" spans="1:3">
      <c r="A36" s="8" t="s">
        <v>1643</v>
      </c>
      <c r="B36" s="8" t="s">
        <v>1643</v>
      </c>
      <c r="C36" s="1557"/>
    </row>
    <row r="37" spans="1:3">
      <c r="A37" s="8" t="s">
        <v>1643</v>
      </c>
      <c r="B37" s="8" t="s">
        <v>1643</v>
      </c>
      <c r="C37" s="1557"/>
    </row>
    <row r="38" spans="1:3">
      <c r="A38" s="8" t="s">
        <v>1643</v>
      </c>
      <c r="B38" s="8" t="s">
        <v>1643</v>
      </c>
      <c r="C38" s="1557"/>
    </row>
    <row r="39" spans="1:3">
      <c r="A39" s="8" t="s">
        <v>1643</v>
      </c>
      <c r="B39" s="8" t="s">
        <v>1643</v>
      </c>
      <c r="C39" s="1557"/>
    </row>
    <row r="40" spans="1:3">
      <c r="A40" s="8" t="s">
        <v>1643</v>
      </c>
      <c r="B40" s="8" t="s">
        <v>1643</v>
      </c>
      <c r="C40" s="1557"/>
    </row>
    <row r="41" spans="1:3">
      <c r="A41" s="8" t="s">
        <v>1643</v>
      </c>
      <c r="B41" s="8" t="s">
        <v>1643</v>
      </c>
      <c r="C41" s="1557"/>
    </row>
    <row r="42" spans="1:3">
      <c r="A42" s="8" t="s">
        <v>1643</v>
      </c>
      <c r="B42" s="8" t="s">
        <v>1643</v>
      </c>
      <c r="C42" s="1557"/>
    </row>
    <row r="43" spans="1:3">
      <c r="A43" s="8" t="s">
        <v>1643</v>
      </c>
      <c r="B43" s="8" t="s">
        <v>1643</v>
      </c>
      <c r="C43" s="1557"/>
    </row>
    <row r="44" spans="1:3">
      <c r="A44" s="8" t="s">
        <v>1643</v>
      </c>
      <c r="B44" s="8" t="s">
        <v>1643</v>
      </c>
      <c r="C44" s="1557"/>
    </row>
    <row r="45" spans="1:3">
      <c r="A45" s="8" t="s">
        <v>1643</v>
      </c>
      <c r="B45" s="8" t="s">
        <v>1643</v>
      </c>
      <c r="C45" s="1557"/>
    </row>
    <row r="46" spans="1:3">
      <c r="A46" s="8" t="s">
        <v>1643</v>
      </c>
      <c r="B46" s="8" t="s">
        <v>1643</v>
      </c>
      <c r="C46" s="1557"/>
    </row>
    <row r="47" spans="1:3">
      <c r="A47" s="8" t="s">
        <v>1643</v>
      </c>
      <c r="B47" s="8" t="s">
        <v>1643</v>
      </c>
      <c r="C47" s="1557"/>
    </row>
    <row r="48" spans="1:3">
      <c r="A48" s="8" t="s">
        <v>1643</v>
      </c>
      <c r="B48" s="8" t="s">
        <v>1643</v>
      </c>
      <c r="C48" s="1557"/>
    </row>
    <row r="49" spans="1:5">
      <c r="A49" s="8" t="s">
        <v>1643</v>
      </c>
      <c r="B49" s="8" t="s">
        <v>1643</v>
      </c>
      <c r="C49" s="1557"/>
    </row>
    <row r="50" spans="1:5">
      <c r="A50" s="8" t="s">
        <v>1643</v>
      </c>
      <c r="B50" s="8" t="s">
        <v>1643</v>
      </c>
      <c r="C50" s="1557"/>
    </row>
    <row r="51" spans="1:5">
      <c r="A51" s="1769" t="s">
        <v>1943</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运河核心区Ⅷ-14-1地块F3其他类多功能用地项目商务金融（办公、商业及地下车库）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1987</v>
      </c>
      <c r="B52" s="1772" t="s">
        <v>1988</v>
      </c>
      <c r="C52" s="1770" t="s">
        <v>1989</v>
      </c>
      <c r="D52" s="1770" t="s">
        <v>1990</v>
      </c>
      <c r="E52" s="1771"/>
    </row>
    <row r="53" spans="1:5">
      <c r="A53" s="3219" t="s">
        <v>1991</v>
      </c>
      <c r="B53" s="1770" t="s">
        <v>1997</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c r="D53" s="1771"/>
      <c r="E53" s="1771"/>
    </row>
    <row r="54" spans="1:5">
      <c r="A54" s="3219"/>
      <c r="B54" s="1770" t="s">
        <v>1998</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19"/>
      <c r="B55" s="1770" t="s">
        <v>1992</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19"/>
      <c r="B56" s="1770" t="s">
        <v>1993</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19"/>
      <c r="B57" s="1770" t="s">
        <v>1994</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6" sqref="B6"/>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1938</v>
      </c>
      <c r="B1" s="3235" t="str">
        <f>IF(B10="北京市","北京市",C10)&amp;F10&amp;B16&amp;"国有建设用地使用权"&amp;B9&amp;"预评估"</f>
        <v>北京市通州区运河核心区Ⅷ-14-1地块F3其他类多功能用地项目商务金融（办公、商业及地下车库）用地出让国有建设用地使用权抵押价格预评估</v>
      </c>
      <c r="C1" s="3236"/>
      <c r="D1" s="3236"/>
      <c r="E1" s="3236"/>
      <c r="F1" s="3236"/>
      <c r="G1" s="3236"/>
      <c r="H1" s="3236"/>
      <c r="I1" s="3237"/>
      <c r="J1" s="1696"/>
      <c r="K1" s="2482" t="str">
        <f>IF(B10="北京市","北京市",C10)&amp;F10&amp;B16&amp;"国有建设用地使用权"&amp;B9</f>
        <v>北京市通州区运河核心区Ⅷ-14-1地块F3其他类多功能用地项目商务金融（办公、商业及地下车库）用地出让国有建设用地使用权抵押价格</v>
      </c>
      <c r="L1" s="1725"/>
      <c r="M1" s="1725"/>
      <c r="N1" s="1696"/>
      <c r="O1" s="1697"/>
      <c r="P1" s="1696"/>
      <c r="Q1" s="1696"/>
      <c r="R1" s="1696"/>
      <c r="S1" s="1696"/>
      <c r="T1" s="1696"/>
      <c r="U1" s="1696"/>
    </row>
    <row r="2" spans="1:21">
      <c r="A2" s="1662" t="s">
        <v>1939</v>
      </c>
      <c r="B2" s="1844" t="s">
        <v>3142</v>
      </c>
      <c r="D2" s="1696"/>
      <c r="E2" s="1696"/>
      <c r="F2" s="1696"/>
      <c r="G2" s="1696"/>
      <c r="H2" s="1662"/>
      <c r="I2" s="1697"/>
      <c r="J2" s="1696"/>
      <c r="K2" s="2482" t="str">
        <f>IF(B10="北京市","北京市",C10)&amp;F10&amp;B16&amp;"国有建设用地使用权"</f>
        <v>北京市通州区运河核心区Ⅷ-14-1地块F3其他类多功能用地项目商务金融（办公、商业及地下车库）用地出让国有建设用地使用权</v>
      </c>
      <c r="L2" s="1725"/>
      <c r="M2" s="1725"/>
      <c r="N2" s="1696"/>
      <c r="O2" s="1697"/>
      <c r="P2" s="1696"/>
      <c r="Q2" s="1696"/>
      <c r="R2" s="1696"/>
      <c r="S2" s="1696"/>
      <c r="T2" s="1696"/>
      <c r="U2" s="1696"/>
    </row>
    <row r="3" spans="1:21">
      <c r="A3" s="1663" t="s">
        <v>1940</v>
      </c>
      <c r="B3" s="1664">
        <v>43032</v>
      </c>
      <c r="C3" s="1665" t="s">
        <v>1996</v>
      </c>
      <c r="D3" s="1664">
        <f>B3</f>
        <v>43032</v>
      </c>
      <c r="E3" s="1696"/>
      <c r="F3" s="1696"/>
      <c r="G3" s="1696"/>
      <c r="H3" s="1662"/>
      <c r="I3" s="1697"/>
      <c r="J3" s="1696"/>
      <c r="K3" s="1776"/>
      <c r="L3" s="1725"/>
      <c r="M3" s="1725"/>
      <c r="N3" s="1696"/>
      <c r="O3" s="1697"/>
      <c r="P3" s="1696"/>
      <c r="Q3" s="1696"/>
      <c r="R3" s="1696"/>
      <c r="S3" s="1696"/>
      <c r="T3" s="1696"/>
      <c r="U3" s="1696"/>
    </row>
    <row r="4" spans="1:21" ht="15" thickBot="1">
      <c r="A4" s="1666" t="s">
        <v>1941</v>
      </c>
      <c r="B4" s="1845" t="s">
        <v>2979</v>
      </c>
      <c r="C4" s="1848">
        <f ca="1">SUMIF(土地估价师,B4,估价师及机构信息!E3:E24)</f>
        <v>2000110082</v>
      </c>
      <c r="D4" s="1845" t="s">
        <v>2980</v>
      </c>
      <c r="E4" s="1848">
        <f ca="1">SUMIF(土地估价师,D4,估价师及机构信息!E3:E24)</f>
        <v>96010014</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欧红伟、梁津</v>
      </c>
      <c r="L4" s="1725"/>
      <c r="M4" s="1725"/>
      <c r="N4" s="1696"/>
      <c r="O4" s="1697"/>
      <c r="P4" s="1696"/>
      <c r="Q4" s="1696"/>
      <c r="R4" s="1696"/>
      <c r="S4" s="1696"/>
      <c r="T4" s="1696"/>
      <c r="U4" s="1696"/>
    </row>
    <row r="5" spans="1:21" ht="15" thickTop="1">
      <c r="A5" s="1667" t="s">
        <v>1942</v>
      </c>
      <c r="B5" s="1791" t="s">
        <v>3144</v>
      </c>
      <c r="C5" s="1668"/>
      <c r="D5" s="1669"/>
      <c r="E5" s="1696"/>
      <c r="F5" s="1696"/>
      <c r="G5" s="1696"/>
      <c r="H5" s="1662"/>
      <c r="I5" s="1697"/>
      <c r="J5" s="1696"/>
      <c r="K5" s="1776"/>
      <c r="L5" s="1725"/>
      <c r="M5" s="1725"/>
      <c r="N5" s="1696"/>
      <c r="O5" s="1697"/>
      <c r="P5" s="1696"/>
      <c r="Q5" s="1696"/>
      <c r="R5" s="1696"/>
      <c r="S5" s="1696"/>
      <c r="T5" s="1696"/>
      <c r="U5" s="1696"/>
    </row>
    <row r="6" spans="1:21" ht="26.25">
      <c r="A6" s="1665" t="s">
        <v>2712</v>
      </c>
      <c r="B6" s="1791"/>
      <c r="C6" s="1763"/>
      <c r="D6" s="1670"/>
      <c r="E6" s="1696"/>
      <c r="F6" s="1696"/>
      <c r="G6" s="1696"/>
      <c r="H6" s="1662"/>
      <c r="I6" s="1697"/>
      <c r="J6" s="1696"/>
      <c r="K6" s="3084" t="str">
        <f>IF(COUNTIF(B6,"*上海银行*"),"上海银行","")</f>
        <v/>
      </c>
      <c r="L6" s="1725"/>
      <c r="M6" s="1725"/>
      <c r="N6" s="1696"/>
      <c r="O6" s="1697"/>
      <c r="P6" s="1696"/>
      <c r="Q6" s="1696"/>
      <c r="R6" s="1696"/>
      <c r="S6" s="1696"/>
      <c r="T6" s="1696"/>
      <c r="U6" s="1696"/>
    </row>
    <row r="7" spans="1:21">
      <c r="A7" s="1671" t="s">
        <v>2713</v>
      </c>
      <c r="B7" s="1791"/>
      <c r="C7" s="1763"/>
      <c r="D7" s="1670"/>
      <c r="E7" s="1696"/>
      <c r="F7" s="1696"/>
      <c r="G7" s="1696"/>
      <c r="H7" s="1662"/>
      <c r="I7" s="1697"/>
      <c r="J7" s="1696"/>
      <c r="K7" s="1776"/>
      <c r="L7" s="1725"/>
      <c r="M7" s="1725"/>
      <c r="N7" s="1696"/>
      <c r="O7" s="1697"/>
      <c r="P7" s="1696"/>
      <c r="Q7" s="1696"/>
      <c r="R7" s="1696"/>
      <c r="S7" s="1696"/>
      <c r="T7" s="1696"/>
      <c r="U7" s="1696"/>
    </row>
    <row r="8" spans="1:21">
      <c r="A8" s="1671" t="s">
        <v>1943</v>
      </c>
      <c r="B8" s="1672" t="s">
        <v>2981</v>
      </c>
      <c r="C8" s="1673"/>
      <c r="D8" s="3241" t="s">
        <v>1945</v>
      </c>
      <c r="E8" s="1846" t="s">
        <v>2982</v>
      </c>
      <c r="F8" s="1674"/>
      <c r="G8" s="1662"/>
      <c r="H8" s="1662"/>
      <c r="I8" s="1709"/>
      <c r="J8" s="1696"/>
      <c r="K8" s="1776"/>
      <c r="L8" s="1725"/>
      <c r="M8" s="1725"/>
      <c r="N8" s="1696"/>
      <c r="O8" s="1697"/>
      <c r="P8" s="1696"/>
      <c r="Q8" s="1696"/>
      <c r="R8" s="1696"/>
      <c r="S8" s="1696"/>
      <c r="T8" s="1696"/>
      <c r="U8" s="1696"/>
    </row>
    <row r="9" spans="1:21" ht="15" thickBot="1">
      <c r="A9" s="1675" t="s">
        <v>1944</v>
      </c>
      <c r="B9" s="1676" t="s">
        <v>2982</v>
      </c>
      <c r="C9" s="1677"/>
      <c r="D9" s="3242"/>
      <c r="E9" s="1676" t="s">
        <v>953</v>
      </c>
      <c r="F9" s="1749"/>
      <c r="G9" s="1744"/>
      <c r="H9" s="1744"/>
      <c r="I9" s="1745"/>
      <c r="J9" s="1696"/>
      <c r="K9" s="1776"/>
      <c r="L9" s="1725"/>
      <c r="M9" s="1725"/>
      <c r="N9" s="1696"/>
      <c r="O9" s="1697"/>
      <c r="P9" s="1696"/>
      <c r="Q9" s="1696"/>
      <c r="R9" s="1696"/>
      <c r="S9" s="1696"/>
      <c r="T9" s="1696"/>
      <c r="U9" s="1696"/>
    </row>
    <row r="10" spans="1:21" ht="15" thickTop="1">
      <c r="A10" s="1746" t="s">
        <v>2000</v>
      </c>
      <c r="B10" s="1721" t="s">
        <v>1946</v>
      </c>
      <c r="C10" s="1678"/>
      <c r="D10" s="1669"/>
      <c r="E10" s="1679" t="s">
        <v>1947</v>
      </c>
      <c r="F10" s="1680" t="s">
        <v>3143</v>
      </c>
      <c r="G10" s="1747"/>
      <c r="H10" s="1748"/>
      <c r="I10" s="1669"/>
      <c r="J10" s="1696"/>
      <c r="K10" s="1776"/>
      <c r="L10" s="1725"/>
      <c r="M10" s="1725"/>
      <c r="N10" s="1696"/>
      <c r="O10" s="1697"/>
      <c r="P10" s="1696"/>
      <c r="Q10" s="1696"/>
      <c r="R10" s="1696"/>
      <c r="S10" s="1696"/>
      <c r="T10" s="1696"/>
      <c r="U10" s="1696"/>
    </row>
    <row r="11" spans="1:21">
      <c r="A11" s="1699" t="s">
        <v>2001</v>
      </c>
      <c r="B11" s="1700" t="s">
        <v>2983</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2059</v>
      </c>
      <c r="B12" s="3238"/>
      <c r="C12" s="3239"/>
      <c r="D12" s="3240"/>
      <c r="E12" s="1701" t="s">
        <v>2062</v>
      </c>
      <c r="F12" s="3256" t="s">
        <v>2895</v>
      </c>
      <c r="G12" s="3257"/>
      <c r="H12" s="3257"/>
      <c r="I12" s="3258"/>
      <c r="J12" s="1696"/>
      <c r="K12" s="1776"/>
      <c r="L12" s="1725"/>
      <c r="M12" s="1725"/>
      <c r="N12" s="1696"/>
      <c r="O12" s="1697"/>
      <c r="P12" s="1696"/>
      <c r="Q12" s="1696"/>
      <c r="R12" s="1696"/>
      <c r="S12" s="1696"/>
      <c r="T12" s="1696"/>
      <c r="U12" s="1696"/>
    </row>
    <row r="13" spans="1:21">
      <c r="A13" s="1689" t="s">
        <v>2060</v>
      </c>
      <c r="B13" s="3238"/>
      <c r="C13" s="3239"/>
      <c r="D13" s="3240"/>
      <c r="E13" s="1701" t="s">
        <v>2062</v>
      </c>
      <c r="F13" s="3256" t="s">
        <v>2896</v>
      </c>
      <c r="G13" s="3257"/>
      <c r="H13" s="3257"/>
      <c r="I13" s="3258"/>
      <c r="J13" s="1696"/>
      <c r="K13" s="1776"/>
      <c r="L13" s="1725"/>
      <c r="M13" s="1725"/>
      <c r="N13" s="1696"/>
      <c r="O13" s="1697"/>
      <c r="P13" s="1696"/>
      <c r="Q13" s="1696"/>
      <c r="R13" s="1696"/>
      <c r="S13" s="1696"/>
      <c r="T13" s="1696"/>
      <c r="U13" s="1696"/>
    </row>
    <row r="14" spans="1:21">
      <c r="A14" s="1663"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1950</v>
      </c>
      <c r="E15" s="1768" t="s">
        <v>1951</v>
      </c>
      <c r="F15" s="1768" t="s">
        <v>1952</v>
      </c>
      <c r="G15" s="1688" t="s">
        <v>1953</v>
      </c>
      <c r="H15" s="1688" t="s">
        <v>1954</v>
      </c>
      <c r="I15" s="1688" t="s">
        <v>1955</v>
      </c>
      <c r="J15" s="1696"/>
      <c r="K15" s="1776"/>
      <c r="L15" s="1725"/>
      <c r="M15" s="1725"/>
      <c r="N15" s="1696"/>
      <c r="O15" s="1697"/>
      <c r="P15" s="1696"/>
      <c r="Q15" s="1696"/>
      <c r="R15" s="1696"/>
      <c r="S15" s="1696"/>
      <c r="T15" s="1696"/>
      <c r="U15" s="1696"/>
    </row>
    <row r="16" spans="1:21" ht="42.75">
      <c r="A16" s="1682" t="s">
        <v>1948</v>
      </c>
      <c r="B16" s="1683" t="s">
        <v>2986</v>
      </c>
      <c r="C16" s="1701" t="s">
        <v>1949</v>
      </c>
      <c r="D16" s="2674" t="s">
        <v>1950</v>
      </c>
      <c r="E16" s="1724" t="s">
        <v>2984</v>
      </c>
      <c r="F16" s="1724" t="s">
        <v>1679</v>
      </c>
      <c r="G16" s="1724" t="s">
        <v>35</v>
      </c>
      <c r="H16" s="1724"/>
      <c r="I16" s="1688" t="s">
        <v>1955</v>
      </c>
      <c r="J16" s="1696"/>
      <c r="K16" s="2483" t="str">
        <f>IF(D17="","",D16&amp;TEXT(D17,"yyyy年m月d日;;"))</f>
        <v/>
      </c>
      <c r="L16" s="1701" t="str">
        <f>IF(OR(K16="",M16=""),"","、")</f>
        <v/>
      </c>
      <c r="M16" s="2483" t="str">
        <f>IF(E17="","",E16&amp;TEXT(E17,"yyyy年m月d日;;"))</f>
        <v>商业2052年11月4日</v>
      </c>
      <c r="N16" s="1701" t="str">
        <f>IF(OR(M16="",O16=""),"","、")</f>
        <v>、</v>
      </c>
      <c r="O16" s="2483" t="str">
        <f>IF(F17="","",F16&amp;TEXT(F17,"yyyy年m月d日;;"))</f>
        <v>办公2062年11月4日</v>
      </c>
      <c r="P16" s="1701" t="str">
        <f>IF(OR(O16="",Q16=""),"","、")</f>
        <v>、</v>
      </c>
      <c r="Q16" s="2483" t="str">
        <f>IF(G17="","",G16&amp;TEXT(G17,"yyyy年m月d日;;"))</f>
        <v>地下车库2062年11月4日</v>
      </c>
      <c r="R16" s="1701" t="str">
        <f>IF(OR(Q16="",S16=""),"","、")</f>
        <v/>
      </c>
      <c r="S16" s="2483" t="str">
        <f>IF(H17="","",H16&amp;TEXT(H17,"yyyy年m月d日;;"))</f>
        <v/>
      </c>
      <c r="T16" s="1701" t="str">
        <f>IF(OR(S16="",U16=""),"","、")</f>
        <v/>
      </c>
      <c r="U16" s="2483" t="str">
        <f>IF(I17="","",I16&amp;TEXT(I17,"yyyy年m月d日;;"))</f>
        <v/>
      </c>
    </row>
    <row r="17" spans="1:21">
      <c r="A17" s="1765"/>
      <c r="B17" s="1684"/>
      <c r="C17" s="1685" t="s">
        <v>1956</v>
      </c>
      <c r="D17" s="1702"/>
      <c r="E17" s="1702">
        <v>55827</v>
      </c>
      <c r="F17" s="1702">
        <v>59479</v>
      </c>
      <c r="G17" s="1702">
        <f>F17</f>
        <v>59479</v>
      </c>
      <c r="H17" s="1702"/>
      <c r="I17" s="1702"/>
      <c r="J17" s="1696"/>
      <c r="K17" s="2482" t="str">
        <f>CONCATENATE(K16,L16,M16,N16,O16,P16,Q16,R16,S16,T16,,U16)</f>
        <v>商业2052年11月4日、办公2062年11月4日、地下车库2062年11月4日</v>
      </c>
      <c r="L17" s="1725"/>
      <c r="M17" s="1725"/>
      <c r="N17" s="1696"/>
      <c r="O17" s="1697"/>
      <c r="P17" s="1696"/>
      <c r="Q17" s="1696"/>
      <c r="R17" s="1696"/>
      <c r="S17" s="1696"/>
      <c r="T17" s="1696"/>
      <c r="U17" s="1696"/>
    </row>
    <row r="18" spans="1:21">
      <c r="A18" s="1765"/>
      <c r="B18" s="1684"/>
      <c r="C18" s="1685" t="s">
        <v>1957</v>
      </c>
      <c r="D18" s="1686"/>
      <c r="E18" s="1686">
        <v>40</v>
      </c>
      <c r="F18" s="1686">
        <v>50</v>
      </c>
      <c r="G18" s="1686">
        <v>50</v>
      </c>
      <c r="H18" s="1686"/>
      <c r="I18" s="1686"/>
      <c r="J18" s="1696"/>
      <c r="K18" s="1776"/>
      <c r="L18" s="1725"/>
      <c r="M18" s="1725"/>
      <c r="N18" s="1696"/>
      <c r="O18" s="1697"/>
      <c r="P18" s="1696"/>
      <c r="Q18" s="1696"/>
      <c r="R18" s="1696"/>
      <c r="S18" s="1696"/>
      <c r="T18" s="1696"/>
      <c r="U18" s="1696"/>
    </row>
    <row r="19" spans="1:21">
      <c r="A19" s="1765"/>
      <c r="B19" s="1684"/>
      <c r="C19" s="1662" t="s">
        <v>1958</v>
      </c>
      <c r="D19" s="1760" t="str">
        <f>IF(B16="出让",IF(D17="","",ROUNDDOWN(MIN((D17-$D$3)/365,D18),2)),D18)</f>
        <v/>
      </c>
      <c r="E19" s="1687">
        <f>IF(B16="出让",IF(E17="","",ROUNDDOWN(MIN((E17-$D$3)/365,E18),2)),E18)</f>
        <v>35.049999999999997</v>
      </c>
      <c r="F19" s="1687">
        <f>IF(B16="出让",IF(F17="","",ROUNDDOWN(MIN((F17-$D$3)/365,F18),2)),F18)</f>
        <v>45.06</v>
      </c>
      <c r="G19" s="1687">
        <f>IF(B16="出让",IF(G17="","",ROUNDDOWN(MIN((G17-$D$3)/365,G18),2)),G18)</f>
        <v>45.06</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53"/>
      <c r="E20" s="3254"/>
      <c r="F20" s="3254"/>
      <c r="G20" s="3254"/>
      <c r="H20" s="3254"/>
      <c r="I20" s="3255"/>
      <c r="J20" s="1696"/>
      <c r="K20" s="1776"/>
      <c r="L20" s="1725"/>
      <c r="M20" s="1725"/>
      <c r="N20" s="1696"/>
      <c r="O20" s="1697"/>
      <c r="P20" s="1696"/>
      <c r="Q20" s="1696"/>
      <c r="R20" s="1696"/>
      <c r="S20" s="1696"/>
      <c r="T20" s="1696"/>
      <c r="U20" s="1696"/>
    </row>
    <row r="21" spans="1:21">
      <c r="A21" s="1765" t="s">
        <v>1959</v>
      </c>
      <c r="B21" s="1766" t="s">
        <v>1960</v>
      </c>
      <c r="C21" s="1761">
        <f>'数据-汇总表'!E3</f>
        <v>95241.88</v>
      </c>
      <c r="D21" s="1762" t="s">
        <v>1961</v>
      </c>
      <c r="E21" s="3243" t="s">
        <v>1999</v>
      </c>
      <c r="F21" s="3244"/>
      <c r="G21" s="3244"/>
      <c r="H21" s="3244"/>
      <c r="I21" s="3245"/>
      <c r="J21" s="1696"/>
      <c r="K21" s="1776"/>
      <c r="L21" s="1725"/>
      <c r="M21" s="1725"/>
      <c r="N21" s="1696"/>
      <c r="O21" s="1697"/>
      <c r="P21" s="1696"/>
      <c r="Q21" s="1696"/>
      <c r="R21" s="1696"/>
      <c r="S21" s="1696"/>
      <c r="T21" s="1696"/>
      <c r="U21" s="1696"/>
    </row>
    <row r="22" spans="1:21">
      <c r="A22" s="2665" t="s">
        <v>953</v>
      </c>
      <c r="B22" s="1663" t="s">
        <v>1962</v>
      </c>
      <c r="C22" s="1688">
        <f>'数据-汇总表'!D3</f>
        <v>9522.6299999999992</v>
      </c>
      <c r="D22" s="1689" t="s">
        <v>1961</v>
      </c>
      <c r="E22" s="3243" t="s">
        <v>2897</v>
      </c>
      <c r="F22" s="3244"/>
      <c r="G22" s="3244"/>
      <c r="H22" s="3244"/>
      <c r="I22" s="3245"/>
      <c r="J22" s="1696"/>
      <c r="K22" s="1776"/>
      <c r="L22" s="1725"/>
      <c r="M22" s="1725"/>
      <c r="N22" s="1696"/>
      <c r="O22" s="1697"/>
      <c r="P22" s="1696"/>
      <c r="Q22" s="1696"/>
      <c r="R22" s="1696"/>
      <c r="S22" s="1696"/>
      <c r="T22" s="1696"/>
      <c r="U22" s="1696"/>
    </row>
    <row r="23" spans="1:21" ht="43.5" thickBot="1">
      <c r="A23" s="1767" t="s">
        <v>1963</v>
      </c>
      <c r="B23" s="1703" t="s">
        <v>1964</v>
      </c>
      <c r="C23" s="1704"/>
      <c r="D23" s="1705" t="s">
        <v>1965</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1966</v>
      </c>
      <c r="B24" s="3246" t="s">
        <v>1967</v>
      </c>
      <c r="C24" s="3247"/>
      <c r="D24" s="3248" t="s">
        <v>1968</v>
      </c>
      <c r="E24" s="3249"/>
      <c r="F24" s="1710" t="s">
        <v>1969</v>
      </c>
      <c r="G24" s="1696"/>
      <c r="H24" s="1696"/>
      <c r="I24" s="1709"/>
      <c r="J24" s="1696"/>
      <c r="K24" s="3234" t="s">
        <v>1970</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2326</v>
      </c>
      <c r="C25" s="1711" t="s">
        <v>1971</v>
      </c>
      <c r="D25" s="1712"/>
      <c r="E25" s="1713" t="s">
        <v>953</v>
      </c>
      <c r="F25" s="1714"/>
      <c r="G25" s="1696"/>
      <c r="H25" s="1696"/>
      <c r="I25" s="1709"/>
      <c r="J25" s="1696"/>
      <c r="K25" s="3234"/>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1972</v>
      </c>
      <c r="C26" s="1711" t="s">
        <v>2327</v>
      </c>
      <c r="D26" s="1662"/>
      <c r="E26" s="1662"/>
      <c r="F26" s="1690"/>
      <c r="G26" s="1696"/>
      <c r="H26" s="1696"/>
      <c r="I26" s="1709"/>
      <c r="J26" s="1696"/>
      <c r="K26" s="3234"/>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1973</v>
      </c>
      <c r="B27" s="1755" t="s">
        <v>1974</v>
      </c>
      <c r="C27" s="1715"/>
      <c r="D27" s="2679" t="s">
        <v>1974</v>
      </c>
      <c r="E27" s="1716"/>
      <c r="F27" s="1690"/>
      <c r="G27" s="1696"/>
      <c r="H27" s="1696"/>
      <c r="I27" s="1709"/>
      <c r="J27" s="1696"/>
      <c r="K27" s="1776"/>
      <c r="L27" s="1725"/>
      <c r="M27" s="1725"/>
      <c r="N27" s="1696"/>
      <c r="O27" s="1697"/>
      <c r="P27" s="1696"/>
      <c r="Q27" s="1696"/>
      <c r="R27" s="1696"/>
      <c r="S27" s="1696"/>
      <c r="T27" s="1696"/>
      <c r="U27" s="1696"/>
    </row>
    <row r="28" spans="1:21">
      <c r="A28" s="1758"/>
      <c r="B28" s="1755" t="s">
        <v>1975</v>
      </c>
      <c r="C28" s="1717"/>
      <c r="D28" s="2680" t="s">
        <v>1975</v>
      </c>
      <c r="E28" s="1718"/>
      <c r="F28" s="1690"/>
      <c r="G28" s="1696"/>
      <c r="H28" s="1696"/>
      <c r="I28" s="1709"/>
      <c r="J28" s="1696"/>
      <c r="K28" s="1776"/>
      <c r="L28" s="1725"/>
      <c r="M28" s="1725"/>
      <c r="N28" s="1696"/>
      <c r="O28" s="1697"/>
      <c r="P28" s="1696"/>
      <c r="Q28" s="1696"/>
      <c r="R28" s="1696"/>
      <c r="S28" s="1696"/>
      <c r="T28" s="1696"/>
      <c r="U28" s="1696"/>
    </row>
    <row r="29" spans="1:21">
      <c r="A29" s="1758"/>
      <c r="B29" s="1755" t="s">
        <v>1976</v>
      </c>
      <c r="C29" s="1717"/>
      <c r="D29" s="2680" t="s">
        <v>1976</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1977</v>
      </c>
      <c r="C30" s="1719"/>
      <c r="D30" s="2681" t="s">
        <v>1977</v>
      </c>
      <c r="E30" s="1720"/>
      <c r="F30" s="1691"/>
      <c r="G30" s="1744"/>
      <c r="H30" s="1744"/>
      <c r="I30" s="1745"/>
      <c r="J30" s="1696"/>
      <c r="K30" s="1776"/>
      <c r="L30" s="1725"/>
      <c r="M30" s="1725"/>
      <c r="N30" s="1696"/>
      <c r="O30" s="1697"/>
      <c r="P30" s="1696"/>
      <c r="Q30" s="1696"/>
      <c r="R30" s="1696"/>
      <c r="S30" s="1696"/>
      <c r="T30" s="1696"/>
      <c r="U30" s="1696"/>
    </row>
    <row r="31" spans="1:21" ht="15" thickTop="1">
      <c r="A31" s="3220" t="s">
        <v>2002</v>
      </c>
      <c r="B31" s="1766" t="s">
        <v>2003</v>
      </c>
      <c r="C31" s="3259"/>
      <c r="D31" s="3260"/>
      <c r="E31" s="1696"/>
      <c r="F31" s="1696"/>
      <c r="G31" s="1696"/>
      <c r="H31" s="1696"/>
      <c r="I31" s="1709"/>
      <c r="J31" s="1696"/>
      <c r="K31" s="2485"/>
      <c r="L31" s="1696"/>
      <c r="M31" s="1696"/>
      <c r="N31" s="1696"/>
      <c r="O31" s="1696"/>
      <c r="P31" s="1696"/>
      <c r="Q31" s="1696"/>
      <c r="R31" s="1696"/>
      <c r="S31" s="1696"/>
      <c r="T31" s="1696"/>
      <c r="U31" s="1696"/>
    </row>
    <row r="32" spans="1:21">
      <c r="A32" s="3220"/>
      <c r="B32" s="1663"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20"/>
      <c r="B33" s="1663"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21"/>
      <c r="B34" s="1663" t="s">
        <v>2006</v>
      </c>
      <c r="C34" s="3222"/>
      <c r="D34" s="3223"/>
      <c r="E34" s="1696"/>
      <c r="F34" s="1696"/>
      <c r="G34" s="1696"/>
      <c r="H34" s="1696"/>
      <c r="I34" s="1709"/>
      <c r="J34" s="1696"/>
      <c r="K34" s="2485"/>
      <c r="L34" s="1696"/>
      <c r="M34" s="1696"/>
      <c r="N34" s="1696"/>
      <c r="O34" s="1696"/>
      <c r="P34" s="1696"/>
      <c r="Q34" s="1696"/>
      <c r="R34" s="1696"/>
      <c r="S34" s="1696"/>
      <c r="T34" s="1696"/>
      <c r="U34" s="1696"/>
    </row>
    <row r="35" spans="1:21">
      <c r="A35" s="3224" t="s">
        <v>848</v>
      </c>
      <c r="B35" s="1724"/>
      <c r="C35" s="1778" t="str">
        <f>IF(B35="场地平整","——","具体情况：")</f>
        <v>具体情况：</v>
      </c>
      <c r="D35" s="3226"/>
      <c r="E35" s="3227"/>
      <c r="F35" s="3227"/>
      <c r="G35" s="3227"/>
      <c r="H35" s="3227"/>
      <c r="I35" s="3228"/>
      <c r="J35" s="1696"/>
      <c r="K35" s="1777"/>
      <c r="L35" s="1725"/>
      <c r="M35" s="1725"/>
      <c r="N35" s="1696"/>
      <c r="O35" s="1697"/>
      <c r="P35" s="1696"/>
      <c r="Q35" s="1696"/>
      <c r="R35" s="1696"/>
      <c r="S35" s="1696"/>
      <c r="T35" s="1696"/>
      <c r="U35" s="1696"/>
    </row>
    <row r="36" spans="1:21">
      <c r="A36" s="3220"/>
      <c r="B36" s="3229" t="s">
        <v>2055</v>
      </c>
      <c r="C36" s="3230"/>
      <c r="D36" s="1794"/>
      <c r="E36" s="3231"/>
      <c r="F36" s="3231"/>
      <c r="G36" s="1689" t="str">
        <f>IF(B35="场地未平整","估价结果处理","")</f>
        <v/>
      </c>
      <c r="H36" s="3232"/>
      <c r="I36" s="3232"/>
      <c r="J36" s="1696"/>
      <c r="K36" s="1777"/>
      <c r="L36" s="1725"/>
      <c r="M36" s="1725"/>
      <c r="N36" s="1696"/>
      <c r="O36" s="1697"/>
      <c r="P36" s="1696"/>
      <c r="Q36" s="1696"/>
      <c r="R36" s="1696"/>
      <c r="S36" s="1696"/>
      <c r="T36" s="1696"/>
      <c r="U36" s="1696"/>
    </row>
    <row r="37" spans="1:21" ht="28.5">
      <c r="A37" s="3220"/>
      <c r="B37" s="3250"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20"/>
      <c r="B38" s="3251"/>
      <c r="C38" s="1671" t="s">
        <v>851</v>
      </c>
      <c r="D38" s="1793">
        <f>ROUNDDOWN(MIN(('数据-取费表'!$B$2-D37)/365,D34),1)</f>
        <v>117.8</v>
      </c>
      <c r="E38" s="1729" t="s">
        <v>852</v>
      </c>
      <c r="F38" s="1696"/>
      <c r="G38" s="1696"/>
      <c r="H38" s="1696"/>
      <c r="I38" s="1709"/>
      <c r="J38" s="1696"/>
      <c r="K38" s="1777"/>
      <c r="L38" s="1696"/>
      <c r="M38" s="1696"/>
      <c r="N38" s="1696"/>
      <c r="O38" s="1696"/>
      <c r="P38" s="1696"/>
      <c r="Q38" s="1696"/>
      <c r="R38" s="1696"/>
      <c r="S38" s="1696"/>
      <c r="T38" s="1696"/>
      <c r="U38" s="1696"/>
    </row>
    <row r="39" spans="1:21">
      <c r="A39" s="3221"/>
      <c r="B39" s="3252"/>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1978</v>
      </c>
      <c r="B40" s="1692"/>
      <c r="C40" s="1692"/>
      <c r="D40" s="1692"/>
      <c r="E40" s="1692"/>
      <c r="F40" s="1692"/>
      <c r="G40" s="1692"/>
      <c r="H40" s="1692"/>
      <c r="I40" s="1709"/>
      <c r="J40" s="1696"/>
      <c r="K40" s="1732">
        <f>COUNTIF(B40:H40,"——")</f>
        <v>0</v>
      </c>
      <c r="L40" s="1701" t="s">
        <v>1979</v>
      </c>
      <c r="M40" s="1698" t="s">
        <v>1980</v>
      </c>
      <c r="N40" s="1698" t="s">
        <v>1981</v>
      </c>
      <c r="O40" s="1698" t="s">
        <v>1982</v>
      </c>
      <c r="P40" s="1698" t="s">
        <v>1983</v>
      </c>
      <c r="Q40" s="1698" t="s">
        <v>1984</v>
      </c>
      <c r="R40" s="1698" t="s">
        <v>1985</v>
      </c>
      <c r="S40" s="3233" t="s">
        <v>1986</v>
      </c>
      <c r="T40" s="1733" t="str">
        <f>NUMBERSTRING(7-K40,1)&amp;"通"</f>
        <v>七通</v>
      </c>
      <c r="U40" s="1696"/>
    </row>
    <row r="41" spans="1:21">
      <c r="A41" s="1665"/>
      <c r="B41" s="3225" t="s">
        <v>1720</v>
      </c>
      <c r="C41" s="3225"/>
      <c r="D41" s="3225"/>
      <c r="E41" s="3225"/>
      <c r="F41" s="1734">
        <f>C10</f>
        <v>0</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33"/>
      <c r="T41" s="1735" t="str">
        <f>IF(T40="一通",L41,IF(T40="二通",M41,IF(T40="三通",N41,IF(T40="四通",O41,IF(T40="五通",P41,IF(T40="六通",Q41,R41))))))</f>
        <v>、、、、、、</v>
      </c>
      <c r="U41" s="1696"/>
    </row>
    <row r="42" spans="1:21">
      <c r="A42" s="1737"/>
      <c r="B42" s="1768" t="s">
        <v>1896</v>
      </c>
      <c r="C42" s="1768" t="s">
        <v>1897</v>
      </c>
      <c r="D42" s="1768" t="s">
        <v>1898</v>
      </c>
      <c r="E42" s="1701" t="s">
        <v>1899</v>
      </c>
      <c r="F42" s="1738"/>
      <c r="G42" s="1696"/>
      <c r="H42" s="1696"/>
      <c r="I42" s="1709"/>
      <c r="J42" s="1696"/>
      <c r="K42" s="1776"/>
      <c r="L42" s="1725"/>
      <c r="M42" s="1725"/>
      <c r="N42" s="1696"/>
      <c r="O42" s="1697"/>
      <c r="P42" s="1696"/>
      <c r="Q42" s="1696"/>
      <c r="R42" s="1696"/>
      <c r="S42" s="1696"/>
      <c r="T42" s="1696"/>
      <c r="U42" s="1696"/>
    </row>
    <row r="43" spans="1:21">
      <c r="A43" s="1739" t="s">
        <v>1705</v>
      </c>
      <c r="B43" s="3174" t="s">
        <v>1411</v>
      </c>
      <c r="C43" s="3174" t="s">
        <v>1411</v>
      </c>
      <c r="D43" s="1740"/>
      <c r="E43" s="1740"/>
      <c r="F43" s="1741"/>
      <c r="G43" s="1696"/>
      <c r="H43" s="1696"/>
      <c r="I43" s="1709"/>
      <c r="J43" s="1696"/>
      <c r="K43" s="1776"/>
      <c r="L43" s="1725"/>
      <c r="M43" s="1725"/>
      <c r="N43" s="1696"/>
      <c r="O43" s="1697"/>
      <c r="P43" s="1696"/>
      <c r="Q43" s="1696"/>
      <c r="R43" s="1696"/>
      <c r="S43" s="1696"/>
      <c r="T43" s="1696"/>
      <c r="U43" s="1696"/>
    </row>
    <row r="44" spans="1:21" ht="15" thickBot="1">
      <c r="A44" s="1739" t="s">
        <v>1706</v>
      </c>
      <c r="B44" s="3175" t="s">
        <v>2987</v>
      </c>
      <c r="C44" s="3175" t="s">
        <v>2987</v>
      </c>
      <c r="D44" s="1740"/>
      <c r="E44" s="1794"/>
      <c r="F44" s="1741"/>
      <c r="G44" s="1696"/>
      <c r="H44" s="1696"/>
      <c r="I44" s="1709"/>
      <c r="J44" s="1696"/>
      <c r="K44" s="1776"/>
      <c r="L44" s="1725"/>
      <c r="M44" s="1725"/>
      <c r="N44" s="1696"/>
      <c r="O44" s="1697"/>
      <c r="P44" s="1696"/>
      <c r="Q44" s="1696"/>
      <c r="R44" s="1696"/>
      <c r="S44" s="1696"/>
      <c r="T44" s="1696"/>
      <c r="U44" s="1696"/>
    </row>
    <row r="45" spans="1:21" s="3101" customFormat="1" ht="21.75" thickTop="1" thickBot="1">
      <c r="A45" s="3102" t="s">
        <v>2898</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T14" sqref="AT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3" t="s">
        <v>2334</v>
      </c>
      <c r="BA2" s="2364" t="s">
        <v>2333</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10956</v>
      </c>
      <c r="B3" s="22">
        <f>IF(C3="否",G5-AT5,G5)</f>
        <v>109577.87000000001</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5"/>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109577.87000000001</v>
      </c>
      <c r="H5" s="27">
        <f t="shared" ref="H5:AT5" si="0">SUM(H13:H641)</f>
        <v>89042.46</v>
      </c>
      <c r="I5" s="27">
        <f t="shared" si="0"/>
        <v>27804.46</v>
      </c>
      <c r="J5" s="27">
        <f t="shared" si="0"/>
        <v>0</v>
      </c>
      <c r="K5" s="27">
        <f t="shared" si="0"/>
        <v>39863.69</v>
      </c>
      <c r="L5" s="27">
        <f t="shared" si="0"/>
        <v>0</v>
      </c>
      <c r="M5" s="27">
        <f t="shared" si="0"/>
        <v>5601.71</v>
      </c>
      <c r="N5" s="27">
        <f t="shared" si="0"/>
        <v>0</v>
      </c>
      <c r="O5" s="27">
        <f t="shared" si="0"/>
        <v>15772.600000000002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6199.42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206.75</v>
      </c>
      <c r="AM5" s="27">
        <f t="shared" si="0"/>
        <v>0</v>
      </c>
      <c r="AN5" s="27">
        <f t="shared" si="0"/>
        <v>5992.67</v>
      </c>
      <c r="AO5" s="27">
        <f t="shared" si="0"/>
        <v>0</v>
      </c>
      <c r="AP5" s="27">
        <f t="shared" si="0"/>
        <v>0</v>
      </c>
      <c r="AQ5" s="27">
        <f t="shared" si="0"/>
        <v>0</v>
      </c>
      <c r="AR5" s="27">
        <f t="shared" si="0"/>
        <v>0</v>
      </c>
      <c r="AS5" s="27">
        <f t="shared" si="0"/>
        <v>0</v>
      </c>
      <c r="AT5" s="27">
        <f t="shared" si="0"/>
        <v>14335.99</v>
      </c>
      <c r="AU5" s="990"/>
      <c r="AV5" s="26" t="s">
        <v>168</v>
      </c>
      <c r="AW5" s="991"/>
      <c r="AX5" s="991"/>
      <c r="AY5" s="28" t="s">
        <v>3</v>
      </c>
      <c r="AZ5" s="29">
        <f t="shared" ref="AZ5:BT5" si="1">SUM(AZ13:AZ641)</f>
        <v>95241.88</v>
      </c>
      <c r="BA5" s="29">
        <f t="shared" si="1"/>
        <v>89042.46</v>
      </c>
      <c r="BB5" s="29">
        <f t="shared" si="1"/>
        <v>27804.46</v>
      </c>
      <c r="BC5" s="29">
        <f t="shared" si="1"/>
        <v>39863.69</v>
      </c>
      <c r="BD5" s="29">
        <f t="shared" si="1"/>
        <v>5601.71</v>
      </c>
      <c r="BE5" s="29">
        <f t="shared" si="1"/>
        <v>15772.600000000002</v>
      </c>
      <c r="BF5" s="29">
        <f t="shared" si="1"/>
        <v>0</v>
      </c>
      <c r="BG5" s="29">
        <f t="shared" si="1"/>
        <v>0</v>
      </c>
      <c r="BH5" s="29">
        <f t="shared" si="1"/>
        <v>0</v>
      </c>
      <c r="BI5" s="29">
        <f t="shared" si="1"/>
        <v>0</v>
      </c>
      <c r="BJ5" s="29">
        <f t="shared" si="1"/>
        <v>0</v>
      </c>
      <c r="BK5" s="29">
        <f t="shared" si="1"/>
        <v>0</v>
      </c>
      <c r="BL5" s="29">
        <f t="shared" si="1"/>
        <v>6199.42</v>
      </c>
      <c r="BM5" s="29">
        <f t="shared" si="1"/>
        <v>0</v>
      </c>
      <c r="BN5" s="29">
        <f t="shared" si="1"/>
        <v>0</v>
      </c>
      <c r="BO5" s="29">
        <f t="shared" si="1"/>
        <v>0</v>
      </c>
      <c r="BP5" s="29">
        <f t="shared" si="1"/>
        <v>0</v>
      </c>
      <c r="BQ5" s="29">
        <f t="shared" si="1"/>
        <v>206.75</v>
      </c>
      <c r="BR5" s="29">
        <f t="shared" si="1"/>
        <v>5992.67</v>
      </c>
      <c r="BS5" s="29">
        <f t="shared" si="1"/>
        <v>0</v>
      </c>
      <c r="BT5" s="30">
        <f t="shared" si="1"/>
        <v>0</v>
      </c>
    </row>
    <row r="6" spans="1:72" s="37" customFormat="1" ht="12.75">
      <c r="A6" s="26" t="s">
        <v>169</v>
      </c>
      <c r="B6" s="31"/>
      <c r="C6" s="31"/>
      <c r="D6" s="32"/>
      <c r="E6" s="27">
        <f>H6+AC6+AT6</f>
        <v>10956</v>
      </c>
      <c r="F6" s="27" t="s">
        <v>1</v>
      </c>
      <c r="G6" s="27" t="s">
        <v>2</v>
      </c>
      <c r="H6" s="33">
        <f>SUMIF(I$12:AB$12,"总值",I6:AB6)</f>
        <v>8902.7899999999991</v>
      </c>
      <c r="I6" s="27">
        <f t="shared" ref="I6:AB6" si="2">ROUND($A$3*I5/$B$3,2)</f>
        <v>2779.99</v>
      </c>
      <c r="J6" s="27">
        <f t="shared" si="2"/>
        <v>0</v>
      </c>
      <c r="K6" s="27">
        <f t="shared" si="2"/>
        <v>3985.72</v>
      </c>
      <c r="L6" s="27">
        <f t="shared" si="2"/>
        <v>0</v>
      </c>
      <c r="M6" s="27">
        <f t="shared" si="2"/>
        <v>560.08000000000004</v>
      </c>
      <c r="N6" s="27">
        <f t="shared" si="2"/>
        <v>0</v>
      </c>
      <c r="O6" s="27">
        <f t="shared" si="2"/>
        <v>1577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619.83999999999992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20.67</v>
      </c>
      <c r="AM6" s="27">
        <f t="shared" si="3"/>
        <v>0</v>
      </c>
      <c r="AN6" s="27">
        <f t="shared" si="3"/>
        <v>599.16999999999996</v>
      </c>
      <c r="AO6" s="27">
        <f t="shared" si="3"/>
        <v>0</v>
      </c>
      <c r="AP6" s="27">
        <f t="shared" si="3"/>
        <v>0</v>
      </c>
      <c r="AQ6" s="27">
        <f t="shared" si="3"/>
        <v>0</v>
      </c>
      <c r="AR6" s="27">
        <f t="shared" si="3"/>
        <v>0</v>
      </c>
      <c r="AS6" s="27">
        <f t="shared" si="3"/>
        <v>0</v>
      </c>
      <c r="AT6" s="33">
        <f>IF(C3="是",ROUND($A$3*AT5/$B$3,2),0)</f>
        <v>1433.37</v>
      </c>
      <c r="AU6" s="34"/>
      <c r="AV6" s="26" t="s">
        <v>169</v>
      </c>
      <c r="AW6" s="31"/>
      <c r="AX6" s="31"/>
      <c r="AY6" s="35">
        <f>IF(AY3&gt;0,AY3,ROUND($A$3*AZ5/$B$3,2))</f>
        <v>9522.6299999999992</v>
      </c>
      <c r="AZ6" s="27" t="s">
        <v>3</v>
      </c>
      <c r="BA6" s="27">
        <f>ROUND($AY$6*BA5/$AZ$5,2)</f>
        <v>8902.7900000000009</v>
      </c>
      <c r="BB6" s="27">
        <f>ROUND($AY$6*BB5/$AZ$5,2)</f>
        <v>2779.99</v>
      </c>
      <c r="BC6" s="27">
        <f t="shared" ref="BC6:BH6" si="4">ROUND($AY$6*BC5/$AZ$5,2)</f>
        <v>3985.72</v>
      </c>
      <c r="BD6" s="27">
        <f t="shared" si="4"/>
        <v>560.08000000000004</v>
      </c>
      <c r="BE6" s="27">
        <f t="shared" si="4"/>
        <v>1577</v>
      </c>
      <c r="BF6" s="27">
        <f t="shared" si="4"/>
        <v>0</v>
      </c>
      <c r="BG6" s="27">
        <f t="shared" si="4"/>
        <v>0</v>
      </c>
      <c r="BH6" s="27">
        <f t="shared" si="4"/>
        <v>0</v>
      </c>
      <c r="BI6" s="27">
        <f t="shared" ref="BI6:BT6" si="5">ROUND($AY$6*BI5/$AZ$5,2)</f>
        <v>0</v>
      </c>
      <c r="BJ6" s="27">
        <f t="shared" si="5"/>
        <v>0</v>
      </c>
      <c r="BK6" s="27">
        <f t="shared" si="5"/>
        <v>0</v>
      </c>
      <c r="BL6" s="27">
        <f t="shared" si="5"/>
        <v>619.84</v>
      </c>
      <c r="BM6" s="27">
        <f t="shared" si="5"/>
        <v>0</v>
      </c>
      <c r="BN6" s="27">
        <f t="shared" si="5"/>
        <v>0</v>
      </c>
      <c r="BO6" s="27">
        <f t="shared" si="5"/>
        <v>0</v>
      </c>
      <c r="BP6" s="27">
        <f t="shared" si="5"/>
        <v>0</v>
      </c>
      <c r="BQ6" s="27">
        <f t="shared" si="5"/>
        <v>20.67</v>
      </c>
      <c r="BR6" s="27">
        <f t="shared" si="5"/>
        <v>599.16999999999996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0"/>
      <c r="AT8" s="2331"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8" t="s">
        <v>2988</v>
      </c>
      <c r="J9" s="51"/>
      <c r="K9" s="3048" t="s">
        <v>2988</v>
      </c>
      <c r="L9" s="51"/>
      <c r="M9" s="3048" t="s">
        <v>2991</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2"/>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8" t="s">
        <v>1679</v>
      </c>
      <c r="J10" s="51"/>
      <c r="K10" s="3050" t="s">
        <v>2984</v>
      </c>
      <c r="L10" s="51"/>
      <c r="M10" s="3050" t="s">
        <v>2984</v>
      </c>
      <c r="N10" s="51"/>
      <c r="O10" s="66" t="s">
        <v>3131</v>
      </c>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2332</v>
      </c>
      <c r="AK10" s="2336"/>
      <c r="AL10" s="2317" t="s">
        <v>2320</v>
      </c>
      <c r="AM10" s="2318"/>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9" t="s">
        <v>2989</v>
      </c>
      <c r="J11" s="71"/>
      <c r="K11" s="3049" t="s">
        <v>2990</v>
      </c>
      <c r="L11" s="71"/>
      <c r="M11" s="70" t="s">
        <v>2990</v>
      </c>
      <c r="N11" s="71"/>
      <c r="O11" s="70" t="s">
        <v>2985</v>
      </c>
      <c r="P11" s="71"/>
      <c r="Q11" s="70"/>
      <c r="R11" s="71"/>
      <c r="S11" s="70"/>
      <c r="T11" s="71"/>
      <c r="U11" s="70"/>
      <c r="V11" s="71"/>
      <c r="W11" s="70"/>
      <c r="X11" s="71"/>
      <c r="Y11" s="70"/>
      <c r="Z11" s="71"/>
      <c r="AA11" s="70"/>
      <c r="AB11" s="71"/>
      <c r="AC11" s="55"/>
      <c r="AD11" s="2337" t="s">
        <v>2331</v>
      </c>
      <c r="AE11" s="1004"/>
      <c r="AF11" s="2337" t="s">
        <v>2331</v>
      </c>
      <c r="AG11" s="1004"/>
      <c r="AH11" s="2337" t="s">
        <v>2330</v>
      </c>
      <c r="AI11" s="2338"/>
      <c r="AJ11" s="2337" t="s">
        <v>2330</v>
      </c>
      <c r="AK11" s="2336"/>
      <c r="AL11" s="1002"/>
      <c r="AM11" s="1004"/>
      <c r="AN11" s="1002"/>
      <c r="AO11" s="1004"/>
      <c r="AP11" s="1190"/>
      <c r="AQ11" s="1192"/>
      <c r="AR11" s="1190"/>
      <c r="AS11" s="1192"/>
      <c r="AT11" s="1005"/>
      <c r="AU11" s="45"/>
      <c r="AV11" s="55"/>
      <c r="AW11" s="1005"/>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办公楼</v>
      </c>
      <c r="BC12" s="79" t="str">
        <f>K11</f>
        <v>底商</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3"/>
      <c r="B13" s="3043"/>
      <c r="C13" s="3043"/>
      <c r="D13" s="3044" t="s">
        <v>1680</v>
      </c>
      <c r="E13" s="27">
        <f t="shared" ref="E13:E20" si="6">IF($C$3="是",ROUND($A$3*G13/$B$3,2),ROUND($A$3*(G13-AT13)/$B$3,2))</f>
        <v>10956</v>
      </c>
      <c r="F13" s="81"/>
      <c r="G13" s="82">
        <f t="shared" ref="G13:G20" si="7">H13+AC13+AT13</f>
        <v>109577.87000000001</v>
      </c>
      <c r="H13" s="33">
        <f t="shared" ref="H13:H20" si="8">SUMIF(I$12:AB$12,"总值",I13:AB13)</f>
        <v>89042.46</v>
      </c>
      <c r="I13" s="3047">
        <v>27804.46</v>
      </c>
      <c r="J13" s="3047"/>
      <c r="K13" s="3047">
        <v>39863.69</v>
      </c>
      <c r="L13" s="3047"/>
      <c r="M13" s="3047">
        <v>5601.71</v>
      </c>
      <c r="N13" s="83"/>
      <c r="O13" s="83">
        <f>29494.74-14202.22+480.08</f>
        <v>15772.600000000002</v>
      </c>
      <c r="P13" s="83"/>
      <c r="Q13" s="83"/>
      <c r="R13" s="83"/>
      <c r="S13" s="83"/>
      <c r="T13" s="83"/>
      <c r="U13" s="83"/>
      <c r="V13" s="83"/>
      <c r="W13" s="83"/>
      <c r="X13" s="83"/>
      <c r="Y13" s="83"/>
      <c r="Z13" s="83"/>
      <c r="AA13" s="83"/>
      <c r="AB13" s="83"/>
      <c r="AC13" s="27">
        <f t="shared" ref="AC13:AC20" si="9">SUMIF(AD$12:AS$12,"总值",AD13:AS13)</f>
        <v>6199.42</v>
      </c>
      <c r="AD13" s="3051"/>
      <c r="AE13" s="3051"/>
      <c r="AF13" s="3051"/>
      <c r="AG13" s="3051"/>
      <c r="AH13" s="3051"/>
      <c r="AI13" s="3051"/>
      <c r="AJ13" s="3051"/>
      <c r="AK13" s="3051"/>
      <c r="AL13" s="3051">
        <v>206.75</v>
      </c>
      <c r="AM13" s="3051"/>
      <c r="AN13" s="3051">
        <f>1040.85+1709.33+2049.19+1193.3</f>
        <v>5992.67</v>
      </c>
      <c r="AO13" s="3051"/>
      <c r="AP13" s="3051"/>
      <c r="AQ13" s="3051"/>
      <c r="AR13" s="3051"/>
      <c r="AS13" s="3051"/>
      <c r="AT13" s="3052">
        <f>133.77+14202.22</f>
        <v>14335.99</v>
      </c>
      <c r="AU13" s="3053"/>
      <c r="AV13" s="17">
        <f t="shared" ref="AV13:AX20" si="10">A13</f>
        <v>0</v>
      </c>
      <c r="AW13" s="17">
        <f t="shared" si="10"/>
        <v>0</v>
      </c>
      <c r="AX13" s="17">
        <f t="shared" si="10"/>
        <v>0</v>
      </c>
      <c r="AY13" s="998">
        <f t="shared" ref="AY13:AY20" si="11">ROUND($AY$6*AZ13/$AZ$5,2)</f>
        <v>9522.6299999999992</v>
      </c>
      <c r="AZ13" s="27">
        <f t="shared" ref="AZ13:AZ20" si="12">BA13+BL13</f>
        <v>95241.88</v>
      </c>
      <c r="BA13" s="27">
        <f t="shared" ref="BA13:BA20" si="13">SUM(BB13:BK13)</f>
        <v>89042.46</v>
      </c>
      <c r="BB13" s="27">
        <f t="shared" ref="BB13:BB20" si="14">IF($D13="是",I13-J13,0)</f>
        <v>27804.46</v>
      </c>
      <c r="BC13" s="27">
        <f t="shared" ref="BC13:BC20" si="15">IF($D13="是",K13-L13,0)</f>
        <v>39863.69</v>
      </c>
      <c r="BD13" s="27">
        <f t="shared" ref="BD13:BD20" si="16">IF($D13="是",M13-N13,0)</f>
        <v>5601.71</v>
      </c>
      <c r="BE13" s="27">
        <f t="shared" ref="BE13:BE20" si="17">IF($D13="是",O13-P13,0)</f>
        <v>15772.600000000002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6199.42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206.75</v>
      </c>
      <c r="BR13" s="27">
        <f t="shared" ref="BR13:BR20" si="30">IF($D13="是",AN13-AO13,0)</f>
        <v>5992.67</v>
      </c>
      <c r="BS13" s="27">
        <f t="shared" ref="BS13:BS20" si="31">IF($D13="是",AP13-AQ13,0)</f>
        <v>0</v>
      </c>
      <c r="BT13" s="36">
        <f t="shared" ref="BT13:BT20" si="32">IF($D13="是",AR13-AS13,0)</f>
        <v>0</v>
      </c>
    </row>
    <row r="14" spans="1:72" s="18" customFormat="1" ht="12.75">
      <c r="A14" s="3043"/>
      <c r="B14" s="3043"/>
      <c r="C14" s="3045"/>
      <c r="D14" s="3044"/>
      <c r="E14" s="27">
        <f t="shared" si="6"/>
        <v>0</v>
      </c>
      <c r="F14" s="81"/>
      <c r="G14" s="82">
        <f t="shared" si="7"/>
        <v>0</v>
      </c>
      <c r="H14" s="33">
        <f t="shared" si="8"/>
        <v>0</v>
      </c>
      <c r="I14" s="3047"/>
      <c r="J14" s="3047"/>
      <c r="K14" s="3047"/>
      <c r="L14" s="3047"/>
      <c r="M14" s="3047"/>
      <c r="N14" s="83"/>
      <c r="O14" s="83"/>
      <c r="P14" s="83"/>
      <c r="Q14" s="83"/>
      <c r="R14" s="83"/>
      <c r="S14" s="83"/>
      <c r="T14" s="83"/>
      <c r="U14" s="83"/>
      <c r="V14" s="83"/>
      <c r="W14" s="83"/>
      <c r="X14" s="83"/>
      <c r="Y14" s="83"/>
      <c r="Z14" s="83"/>
      <c r="AA14" s="83"/>
      <c r="AB14" s="83"/>
      <c r="AC14" s="27">
        <f t="shared" si="9"/>
        <v>0</v>
      </c>
      <c r="AD14" s="3051"/>
      <c r="AE14" s="3051"/>
      <c r="AF14" s="3051"/>
      <c r="AG14" s="3051"/>
      <c r="AH14" s="3051"/>
      <c r="AI14" s="3051"/>
      <c r="AJ14" s="3051"/>
      <c r="AK14" s="3051"/>
      <c r="AL14" s="3051"/>
      <c r="AM14" s="3051"/>
      <c r="AN14" s="3051"/>
      <c r="AO14" s="3051"/>
      <c r="AP14" s="3051"/>
      <c r="AQ14" s="3051"/>
      <c r="AR14" s="3051"/>
      <c r="AS14" s="3051"/>
      <c r="AT14" s="3052"/>
      <c r="AU14" s="3053"/>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3"/>
      <c r="B15" s="3043"/>
      <c r="C15" s="3045"/>
      <c r="D15" s="3044"/>
      <c r="E15" s="27">
        <f t="shared" si="6"/>
        <v>0</v>
      </c>
      <c r="F15" s="81"/>
      <c r="G15" s="82">
        <f t="shared" si="7"/>
        <v>0</v>
      </c>
      <c r="H15" s="33">
        <f t="shared" si="8"/>
        <v>0</v>
      </c>
      <c r="I15" s="3047"/>
      <c r="J15" s="3047"/>
      <c r="K15" s="3047"/>
      <c r="L15" s="3047"/>
      <c r="M15" s="3047"/>
      <c r="N15" s="83"/>
      <c r="O15" s="83"/>
      <c r="P15" s="83"/>
      <c r="Q15" s="83"/>
      <c r="R15" s="83"/>
      <c r="S15" s="83"/>
      <c r="T15" s="83"/>
      <c r="U15" s="83"/>
      <c r="V15" s="83"/>
      <c r="W15" s="83"/>
      <c r="X15" s="83"/>
      <c r="Y15" s="83"/>
      <c r="Z15" s="83"/>
      <c r="AA15" s="83"/>
      <c r="AB15" s="83"/>
      <c r="AC15" s="27">
        <f t="shared" si="9"/>
        <v>0</v>
      </c>
      <c r="AD15" s="3051"/>
      <c r="AE15" s="3051"/>
      <c r="AF15" s="3051"/>
      <c r="AG15" s="3051"/>
      <c r="AH15" s="3051"/>
      <c r="AI15" s="3051"/>
      <c r="AJ15" s="3051"/>
      <c r="AK15" s="3051"/>
      <c r="AL15" s="3051"/>
      <c r="AM15" s="3051"/>
      <c r="AN15" s="3051"/>
      <c r="AO15" s="3051"/>
      <c r="AP15" s="3051"/>
      <c r="AQ15" s="3051"/>
      <c r="AR15" s="3051"/>
      <c r="AS15" s="3051"/>
      <c r="AT15" s="3052"/>
      <c r="AU15" s="3053"/>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3"/>
      <c r="B16" s="3043"/>
      <c r="C16" s="3045"/>
      <c r="D16" s="3044"/>
      <c r="E16" s="27">
        <f t="shared" si="6"/>
        <v>0</v>
      </c>
      <c r="F16" s="81"/>
      <c r="G16" s="82">
        <f t="shared" si="7"/>
        <v>0</v>
      </c>
      <c r="H16" s="33">
        <f t="shared" si="8"/>
        <v>0</v>
      </c>
      <c r="I16" s="3047"/>
      <c r="J16" s="3047"/>
      <c r="K16" s="3047"/>
      <c r="L16" s="3047"/>
      <c r="M16" s="3047"/>
      <c r="N16" s="83"/>
      <c r="O16" s="83"/>
      <c r="P16" s="83"/>
      <c r="Q16" s="83"/>
      <c r="R16" s="83"/>
      <c r="S16" s="83"/>
      <c r="T16" s="83"/>
      <c r="U16" s="83"/>
      <c r="V16" s="83"/>
      <c r="W16" s="83"/>
      <c r="X16" s="83"/>
      <c r="Y16" s="83"/>
      <c r="Z16" s="83"/>
      <c r="AA16" s="83"/>
      <c r="AB16" s="83"/>
      <c r="AC16" s="27">
        <f t="shared" si="9"/>
        <v>0</v>
      </c>
      <c r="AD16" s="3051"/>
      <c r="AE16" s="3051"/>
      <c r="AF16" s="3051"/>
      <c r="AG16" s="3051"/>
      <c r="AH16" s="3051"/>
      <c r="AI16" s="3051"/>
      <c r="AJ16" s="3051"/>
      <c r="AK16" s="3051"/>
      <c r="AL16" s="3051"/>
      <c r="AM16" s="3051"/>
      <c r="AN16" s="3051"/>
      <c r="AO16" s="3051"/>
      <c r="AP16" s="3051"/>
      <c r="AQ16" s="3051"/>
      <c r="AR16" s="3051"/>
      <c r="AS16" s="3051"/>
      <c r="AT16" s="3052"/>
      <c r="AU16" s="3053"/>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3"/>
      <c r="B17" s="3043"/>
      <c r="C17" s="3045"/>
      <c r="D17" s="3044"/>
      <c r="E17" s="27">
        <f t="shared" si="6"/>
        <v>0</v>
      </c>
      <c r="F17" s="81"/>
      <c r="G17" s="82">
        <f t="shared" si="7"/>
        <v>0</v>
      </c>
      <c r="H17" s="33">
        <f t="shared" si="8"/>
        <v>0</v>
      </c>
      <c r="I17" s="3047"/>
      <c r="J17" s="3047"/>
      <c r="K17" s="3047"/>
      <c r="L17" s="3047"/>
      <c r="M17" s="3047"/>
      <c r="N17" s="83"/>
      <c r="O17" s="83"/>
      <c r="P17" s="83"/>
      <c r="Q17" s="83"/>
      <c r="R17" s="83"/>
      <c r="S17" s="83"/>
      <c r="T17" s="83"/>
      <c r="U17" s="83"/>
      <c r="V17" s="83"/>
      <c r="W17" s="83"/>
      <c r="X17" s="83"/>
      <c r="Y17" s="83"/>
      <c r="Z17" s="83"/>
      <c r="AA17" s="83"/>
      <c r="AB17" s="83"/>
      <c r="AC17" s="27">
        <f t="shared" si="9"/>
        <v>0</v>
      </c>
      <c r="AD17" s="3051"/>
      <c r="AE17" s="3051"/>
      <c r="AF17" s="3051"/>
      <c r="AG17" s="3051"/>
      <c r="AH17" s="3051"/>
      <c r="AI17" s="3051"/>
      <c r="AJ17" s="3051"/>
      <c r="AK17" s="3051"/>
      <c r="AL17" s="3051"/>
      <c r="AM17" s="3051"/>
      <c r="AN17" s="3051"/>
      <c r="AO17" s="3051"/>
      <c r="AP17" s="3051"/>
      <c r="AQ17" s="3051"/>
      <c r="AR17" s="3051"/>
      <c r="AS17" s="3051"/>
      <c r="AT17" s="3052"/>
      <c r="AU17" s="3053"/>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6"/>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7" sqref="H37"/>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2" t="s">
        <v>203</v>
      </c>
      <c r="B2" s="3272"/>
      <c r="C2" s="3272"/>
      <c r="D2" s="1978" t="s">
        <v>204</v>
      </c>
      <c r="E2" s="106" t="s">
        <v>205</v>
      </c>
      <c r="F2" s="1987"/>
      <c r="G2" s="1200"/>
      <c r="H2" s="1201"/>
      <c r="I2" s="1202" t="s">
        <v>858</v>
      </c>
      <c r="J2" s="1987"/>
      <c r="K2" s="1987"/>
      <c r="L2" s="1987"/>
    </row>
    <row r="3" spans="1:16" ht="15.75" thickBot="1">
      <c r="A3" s="3273" t="s">
        <v>206</v>
      </c>
      <c r="B3" s="3273"/>
      <c r="C3" s="3273"/>
      <c r="D3" s="107">
        <f>'数据-基础表'!AY6</f>
        <v>9522.6299999999992</v>
      </c>
      <c r="E3" s="107">
        <f>'数据-基础表'!AZ5</f>
        <v>95241.88</v>
      </c>
      <c r="F3" s="1987"/>
      <c r="G3" s="279" t="s">
        <v>859</v>
      </c>
      <c r="H3" s="274" t="s">
        <v>860</v>
      </c>
      <c r="I3" s="1979">
        <f>ROUND('数据-基础表'!B3/'数据-基础表'!A3,2)</f>
        <v>10</v>
      </c>
      <c r="J3" s="1987"/>
      <c r="K3" s="1987"/>
      <c r="L3" s="1987"/>
    </row>
    <row r="4" spans="1:16" ht="15">
      <c r="A4" s="3274"/>
      <c r="B4" s="3275"/>
      <c r="C4" s="3276"/>
      <c r="D4" s="108" t="s">
        <v>204</v>
      </c>
      <c r="E4" s="109" t="s">
        <v>205</v>
      </c>
      <c r="F4" s="1987"/>
      <c r="G4" s="1203"/>
      <c r="H4" s="274" t="s">
        <v>861</v>
      </c>
      <c r="I4" s="1979">
        <f>ROUND(SUMIF('数据-基础表'!I9:AS9,"地上",'数据-基础表'!I5:AS5)/'数据-基础表'!A3,2)</f>
        <v>6.2</v>
      </c>
      <c r="J4" s="1987"/>
      <c r="K4" s="1987"/>
      <c r="L4" s="1987"/>
    </row>
    <row r="5" spans="1:16">
      <c r="A5" s="110" t="s">
        <v>207</v>
      </c>
      <c r="B5" s="3277" t="s">
        <v>230</v>
      </c>
      <c r="C5" s="3277"/>
      <c r="D5" s="111">
        <f>ROUND($D$3*E5/$E$3,2)</f>
        <v>0</v>
      </c>
      <c r="E5" s="112">
        <f>SUMIF('数据-基础表'!$11:$11,"住宅",'数据-基础表'!$5:$5)</f>
        <v>0</v>
      </c>
      <c r="F5" s="1987"/>
      <c r="G5" s="279" t="s">
        <v>862</v>
      </c>
      <c r="H5" s="274" t="s">
        <v>860</v>
      </c>
      <c r="I5" s="1979">
        <f>ROUND(E31/D31,2)</f>
        <v>10</v>
      </c>
      <c r="J5" s="1987"/>
      <c r="K5" s="1987"/>
      <c r="L5" s="1987"/>
    </row>
    <row r="6" spans="1:16" ht="15" thickBot="1">
      <c r="A6" s="113"/>
      <c r="B6" s="3277" t="s">
        <v>208</v>
      </c>
      <c r="C6" s="3277"/>
      <c r="D6" s="111">
        <f>ROUND($D$3*E6/$E$3,2)</f>
        <v>9522.6299999999992</v>
      </c>
      <c r="E6" s="112">
        <f>E3-E5</f>
        <v>95241.88</v>
      </c>
      <c r="F6" s="1987"/>
      <c r="G6" s="1203"/>
      <c r="H6" s="274" t="s">
        <v>861</v>
      </c>
      <c r="I6" s="1979">
        <f>ROUND(F31/D31,2)</f>
        <v>7.13</v>
      </c>
      <c r="J6" s="1987"/>
      <c r="K6" s="1987"/>
      <c r="L6" s="1987"/>
    </row>
    <row r="7" spans="1:16" ht="15">
      <c r="A7" s="3269"/>
      <c r="B7" s="3270"/>
      <c r="C7" s="3271"/>
      <c r="D7" s="108" t="s">
        <v>204</v>
      </c>
      <c r="E7" s="114" t="s">
        <v>231</v>
      </c>
      <c r="F7" s="1987"/>
      <c r="G7" s="1158" t="s">
        <v>1647</v>
      </c>
      <c r="H7" s="1159"/>
      <c r="I7" s="1849"/>
      <c r="J7" s="1987"/>
      <c r="K7" s="1987"/>
      <c r="L7" s="1987"/>
    </row>
    <row r="8" spans="1:16">
      <c r="A8" s="110" t="s">
        <v>209</v>
      </c>
      <c r="B8" s="115" t="s">
        <v>210</v>
      </c>
      <c r="C8" s="111" t="s">
        <v>211</v>
      </c>
      <c r="D8" s="111">
        <f t="shared" ref="D8:D15" si="0">ROUND($D$3*E8/$E$3,2)</f>
        <v>6765.71</v>
      </c>
      <c r="E8" s="116">
        <f>SUMIF('数据-基础表'!BB10:BK10,"地上",'数据-基础表'!BB5:BK5)</f>
        <v>67668.149999999994</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560.08000000000004</v>
      </c>
      <c r="E10" s="116">
        <f>SUMPRODUCT(('数据-基础表'!BB10:BK10="地下")*('数据-基础表'!BB11:BK11="商业")*('数据-基础表'!BB5:BK5))</f>
        <v>5601.71</v>
      </c>
      <c r="F10" s="1987"/>
      <c r="G10" s="1989"/>
      <c r="H10" s="1989"/>
      <c r="I10" s="1987"/>
      <c r="J10" s="1987"/>
      <c r="K10" s="1987"/>
      <c r="L10" s="1987"/>
    </row>
    <row r="11" spans="1:16">
      <c r="A11" s="117"/>
      <c r="B11" s="118"/>
      <c r="C11" s="2334" t="s">
        <v>2328</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2335</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1577</v>
      </c>
      <c r="E15" s="116">
        <f>SUMPRODUCT(('数据-基础表'!BB10:BK10="地下")*('数据-基础表'!BB11:BK11="车库—办公")*('数据-基础表'!BB5:BK5))</f>
        <v>15772.600000000002</v>
      </c>
      <c r="F15" s="1987"/>
      <c r="G15" s="1989"/>
      <c r="H15" s="1989"/>
      <c r="I15" s="1987"/>
      <c r="J15" s="1987"/>
      <c r="K15" s="1987"/>
      <c r="L15" s="1987"/>
    </row>
    <row r="16" spans="1:16" ht="15.75" thickBot="1">
      <c r="A16" s="113"/>
      <c r="B16" s="118"/>
      <c r="C16" s="115" t="s">
        <v>215</v>
      </c>
      <c r="D16" s="115">
        <f>SUM(D8:D15)</f>
        <v>8902.7900000000009</v>
      </c>
      <c r="E16" s="120">
        <f>SUM(E8:E15)</f>
        <v>89042.46</v>
      </c>
      <c r="F16" s="1987"/>
      <c r="G16" s="1989"/>
      <c r="H16" s="970" t="s">
        <v>219</v>
      </c>
      <c r="I16" s="971"/>
      <c r="J16" s="1987"/>
      <c r="K16" s="3263" t="s">
        <v>2570</v>
      </c>
      <c r="L16" s="3264"/>
      <c r="M16" s="3264"/>
      <c r="N16" s="3264"/>
      <c r="O16" s="3264"/>
      <c r="P16" s="3265"/>
    </row>
    <row r="17" spans="1:19" ht="15">
      <c r="A17" s="121" t="s">
        <v>216</v>
      </c>
      <c r="B17" s="122" t="s">
        <v>217</v>
      </c>
      <c r="C17" s="2301" t="s">
        <v>2314</v>
      </c>
      <c r="D17" s="108" t="s">
        <v>204</v>
      </c>
      <c r="E17" s="124" t="s">
        <v>205</v>
      </c>
      <c r="F17" s="125"/>
      <c r="G17" s="1368"/>
      <c r="H17" s="972" t="s">
        <v>218</v>
      </c>
      <c r="I17" s="973" t="s">
        <v>2313</v>
      </c>
      <c r="J17" s="1987"/>
      <c r="K17" s="3266" t="s">
        <v>2571</v>
      </c>
      <c r="L17" s="3267"/>
      <c r="M17" s="3268"/>
      <c r="N17" s="3266" t="s">
        <v>2572</v>
      </c>
      <c r="O17" s="3267"/>
      <c r="P17" s="3268"/>
      <c r="R17" s="2302" t="s">
        <v>2312</v>
      </c>
      <c r="S17" s="144"/>
    </row>
    <row r="18" spans="1:19" ht="15">
      <c r="A18" s="117"/>
      <c r="B18" s="128"/>
      <c r="C18" s="129"/>
      <c r="D18" s="2670"/>
      <c r="E18" s="130" t="s">
        <v>220</v>
      </c>
      <c r="F18" s="131" t="s">
        <v>221</v>
      </c>
      <c r="G18" s="1369" t="s">
        <v>222</v>
      </c>
      <c r="H18" s="974" t="s">
        <v>223</v>
      </c>
      <c r="I18" s="975" t="s">
        <v>224</v>
      </c>
      <c r="J18" s="1987"/>
      <c r="K18" s="2632" t="s">
        <v>2573</v>
      </c>
      <c r="L18" s="2633" t="s">
        <v>2574</v>
      </c>
      <c r="M18" s="2634" t="s">
        <v>2575</v>
      </c>
      <c r="N18" s="2632" t="s">
        <v>2573</v>
      </c>
      <c r="O18" s="2633" t="s">
        <v>2574</v>
      </c>
      <c r="P18" s="2634" t="s">
        <v>2575</v>
      </c>
      <c r="R18" s="2303" t="s">
        <v>2310</v>
      </c>
      <c r="S18" s="2303" t="s">
        <v>2311</v>
      </c>
    </row>
    <row r="19" spans="1:19">
      <c r="A19" s="133"/>
      <c r="B19" s="115" t="s">
        <v>225</v>
      </c>
      <c r="C19" s="3054" t="s">
        <v>2992</v>
      </c>
      <c r="D19" s="111">
        <f t="shared" ref="D19:D26" si="1">ROUND($D$3*E19/$E$3,2)</f>
        <v>2779.99</v>
      </c>
      <c r="E19" s="134">
        <f t="shared" ref="E19:E26" si="2">SUM(F19:G19)</f>
        <v>27804.46</v>
      </c>
      <c r="F19" s="135">
        <f>'数据-基础表'!I13</f>
        <v>27804.46</v>
      </c>
      <c r="G19" s="1370"/>
      <c r="H19" s="976">
        <f>ROUND($D$3*I19/$E$3,2)</f>
        <v>193.55</v>
      </c>
      <c r="I19" s="116">
        <f>IF($I$17="自定义",P19,M19)</f>
        <v>1935.84</v>
      </c>
      <c r="J19" s="1987"/>
      <c r="K19" s="2635">
        <f t="shared" ref="K19:K26" si="3">ROUND(E$28*E19/E$27,2)</f>
        <v>1935.84</v>
      </c>
      <c r="L19" s="274">
        <f t="shared" ref="L19:L26" si="4">ROUND(IF(COUNTIF(C19,"*住宅*")&gt;0,E$29*E19/E$32,0),2)</f>
        <v>0</v>
      </c>
      <c r="M19" s="2636">
        <f>K19+L19</f>
        <v>1935.84</v>
      </c>
      <c r="N19" s="2637"/>
      <c r="O19" s="2638"/>
      <c r="P19" s="2639">
        <f>N19+O19</f>
        <v>0</v>
      </c>
      <c r="R19" s="274">
        <f t="shared" ref="R19:S26" si="5">D19+H19</f>
        <v>2973.54</v>
      </c>
      <c r="S19" s="2304">
        <f t="shared" si="5"/>
        <v>29740.3</v>
      </c>
    </row>
    <row r="20" spans="1:19">
      <c r="A20" s="138"/>
      <c r="B20" s="115" t="s">
        <v>226</v>
      </c>
      <c r="C20" s="3054" t="s">
        <v>2993</v>
      </c>
      <c r="D20" s="111">
        <f t="shared" si="1"/>
        <v>4545.8</v>
      </c>
      <c r="E20" s="134">
        <f t="shared" si="2"/>
        <v>45465.4</v>
      </c>
      <c r="F20" s="135">
        <f>'数据-基础表'!K13</f>
        <v>39863.69</v>
      </c>
      <c r="G20" s="1370">
        <f>'数据-基础表'!M13</f>
        <v>5601.71</v>
      </c>
      <c r="H20" s="976">
        <f t="shared" ref="H20:H26" si="6">ROUND($D$3*I20/$E$3,2)</f>
        <v>316.49</v>
      </c>
      <c r="I20" s="116">
        <f t="shared" ref="I20:I26" si="7">IF($I$17="自定义",P20,M20)</f>
        <v>3165.45</v>
      </c>
      <c r="J20" s="1987"/>
      <c r="K20" s="2635">
        <f t="shared" si="3"/>
        <v>3165.45</v>
      </c>
      <c r="L20" s="274">
        <f t="shared" si="4"/>
        <v>0</v>
      </c>
      <c r="M20" s="2636">
        <f t="shared" ref="M20:M26" si="8">K20+L20</f>
        <v>3165.45</v>
      </c>
      <c r="N20" s="2637"/>
      <c r="O20" s="2638"/>
      <c r="P20" s="2639">
        <f t="shared" ref="P20:P26" si="9">N20+O20</f>
        <v>0</v>
      </c>
      <c r="R20" s="274">
        <f t="shared" si="5"/>
        <v>4862.29</v>
      </c>
      <c r="S20" s="2304">
        <f t="shared" si="5"/>
        <v>48630.85</v>
      </c>
    </row>
    <row r="21" spans="1:19">
      <c r="A21" s="138"/>
      <c r="B21" s="115" t="s">
        <v>226</v>
      </c>
      <c r="C21" s="3054" t="s">
        <v>2994</v>
      </c>
      <c r="D21" s="111">
        <f t="shared" si="1"/>
        <v>1577</v>
      </c>
      <c r="E21" s="134">
        <f t="shared" si="2"/>
        <v>15772.600000000002</v>
      </c>
      <c r="F21" s="135"/>
      <c r="G21" s="1370">
        <f>'数据-基础表'!O13</f>
        <v>15772.600000000002</v>
      </c>
      <c r="H21" s="976">
        <f t="shared" si="6"/>
        <v>109.8</v>
      </c>
      <c r="I21" s="116">
        <f t="shared" si="7"/>
        <v>1098.1400000000001</v>
      </c>
      <c r="J21" s="1987"/>
      <c r="K21" s="2635">
        <f t="shared" si="3"/>
        <v>1098.1400000000001</v>
      </c>
      <c r="L21" s="274">
        <f t="shared" si="4"/>
        <v>0</v>
      </c>
      <c r="M21" s="2636">
        <f t="shared" si="8"/>
        <v>1098.1400000000001</v>
      </c>
      <c r="N21" s="2637"/>
      <c r="O21" s="2638"/>
      <c r="P21" s="2639">
        <f t="shared" si="9"/>
        <v>0</v>
      </c>
      <c r="R21" s="274">
        <f t="shared" si="5"/>
        <v>1686.8</v>
      </c>
      <c r="S21" s="2304">
        <f t="shared" si="5"/>
        <v>16870.740000000002</v>
      </c>
    </row>
    <row r="22" spans="1:19">
      <c r="A22" s="138"/>
      <c r="B22" s="115" t="s">
        <v>226</v>
      </c>
      <c r="C22" s="1367"/>
      <c r="D22" s="111">
        <f t="shared" si="1"/>
        <v>0</v>
      </c>
      <c r="E22" s="134">
        <f t="shared" si="2"/>
        <v>0</v>
      </c>
      <c r="F22" s="140"/>
      <c r="G22" s="1371"/>
      <c r="H22" s="976">
        <f t="shared" si="6"/>
        <v>0</v>
      </c>
      <c r="I22" s="116">
        <f t="shared" si="7"/>
        <v>0</v>
      </c>
      <c r="J22" s="1987"/>
      <c r="K22" s="2635">
        <f t="shared" si="3"/>
        <v>0</v>
      </c>
      <c r="L22" s="274">
        <f t="shared" si="4"/>
        <v>0</v>
      </c>
      <c r="M22" s="2636">
        <f t="shared" si="8"/>
        <v>0</v>
      </c>
      <c r="N22" s="2637"/>
      <c r="O22" s="2638"/>
      <c r="P22" s="2639">
        <f t="shared" si="9"/>
        <v>0</v>
      </c>
      <c r="R22" s="274">
        <f t="shared" si="5"/>
        <v>0</v>
      </c>
      <c r="S22" s="2304">
        <f t="shared" si="5"/>
        <v>0</v>
      </c>
    </row>
    <row r="23" spans="1:19">
      <c r="A23" s="138"/>
      <c r="B23" s="115" t="s">
        <v>226</v>
      </c>
      <c r="C23" s="139"/>
      <c r="D23" s="111">
        <f>ROUND($D$3*E23/$E$3,2)</f>
        <v>0</v>
      </c>
      <c r="E23" s="134">
        <f>SUM(F23:G23)</f>
        <v>0</v>
      </c>
      <c r="F23" s="140"/>
      <c r="G23" s="1371"/>
      <c r="H23" s="976">
        <f>ROUND($D$3*I23/$E$3,2)</f>
        <v>0</v>
      </c>
      <c r="I23" s="116">
        <f t="shared" si="7"/>
        <v>0</v>
      </c>
      <c r="J23" s="1987"/>
      <c r="K23" s="2635">
        <f t="shared" si="3"/>
        <v>0</v>
      </c>
      <c r="L23" s="274">
        <f t="shared" si="4"/>
        <v>0</v>
      </c>
      <c r="M23" s="2636">
        <f t="shared" si="8"/>
        <v>0</v>
      </c>
      <c r="N23" s="2637"/>
      <c r="O23" s="2638"/>
      <c r="P23" s="2639">
        <f t="shared" si="9"/>
        <v>0</v>
      </c>
      <c r="R23" s="274">
        <f t="shared" si="5"/>
        <v>0</v>
      </c>
      <c r="S23" s="2304">
        <f t="shared" si="5"/>
        <v>0</v>
      </c>
    </row>
    <row r="24" spans="1:19">
      <c r="A24" s="138"/>
      <c r="B24" s="115" t="s">
        <v>226</v>
      </c>
      <c r="C24" s="139"/>
      <c r="D24" s="111">
        <f>ROUND($D$3*E24/$E$3,2)</f>
        <v>0</v>
      </c>
      <c r="E24" s="134">
        <f>SUM(F24:G24)</f>
        <v>0</v>
      </c>
      <c r="F24" s="140"/>
      <c r="G24" s="1371"/>
      <c r="H24" s="976">
        <f>ROUND($D$3*I24/$E$3,2)</f>
        <v>0</v>
      </c>
      <c r="I24" s="116">
        <f t="shared" si="7"/>
        <v>0</v>
      </c>
      <c r="J24" s="1987"/>
      <c r="K24" s="2635">
        <f t="shared" si="3"/>
        <v>0</v>
      </c>
      <c r="L24" s="274">
        <f t="shared" si="4"/>
        <v>0</v>
      </c>
      <c r="M24" s="2636">
        <f t="shared" si="8"/>
        <v>0</v>
      </c>
      <c r="N24" s="2637"/>
      <c r="O24" s="2638"/>
      <c r="P24" s="2639">
        <f t="shared" si="9"/>
        <v>0</v>
      </c>
      <c r="R24" s="274">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4">
        <f t="shared" si="4"/>
        <v>0</v>
      </c>
      <c r="M25" s="2636">
        <f t="shared" si="8"/>
        <v>0</v>
      </c>
      <c r="N25" s="2637"/>
      <c r="O25" s="2638"/>
      <c r="P25" s="2639">
        <f t="shared" si="9"/>
        <v>0</v>
      </c>
      <c r="R25" s="274">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79">
        <f t="shared" si="4"/>
        <v>0</v>
      </c>
      <c r="M26" s="146">
        <f t="shared" si="8"/>
        <v>0</v>
      </c>
      <c r="N26" s="2641"/>
      <c r="O26" s="2642"/>
      <c r="P26" s="2643">
        <f t="shared" si="9"/>
        <v>0</v>
      </c>
      <c r="R26" s="274">
        <f t="shared" si="5"/>
        <v>0</v>
      </c>
      <c r="S26" s="2304">
        <f t="shared" si="5"/>
        <v>0</v>
      </c>
    </row>
    <row r="27" spans="1:19" ht="15.75" thickBot="1">
      <c r="A27" s="138"/>
      <c r="B27" s="111"/>
      <c r="C27" s="127" t="s">
        <v>215</v>
      </c>
      <c r="D27" s="134">
        <f>SUM(D19:D26)</f>
        <v>8902.7900000000009</v>
      </c>
      <c r="E27" s="143">
        <f>IF(SUM(E19:E26)='数据-基础表'!BA5,SUM(E19:E26),IF(F27="地上面积有误","面积有误","地下面积有误"))</f>
        <v>89042.46</v>
      </c>
      <c r="F27" s="134">
        <f>IF(SUM(F19:F26)=E8,SUM(F19:F26),"地上面积有误")</f>
        <v>67668.149999999994</v>
      </c>
      <c r="G27" s="112">
        <f>SUM(G19:G26)</f>
        <v>21374.31</v>
      </c>
      <c r="H27" s="977">
        <f>SUM(H19:H26)</f>
        <v>619.84</v>
      </c>
      <c r="I27" s="978">
        <f>SUM(I19:I26)</f>
        <v>6199.43</v>
      </c>
      <c r="J27" s="1987"/>
      <c r="K27" s="2644">
        <f>SUM(K19:K26)</f>
        <v>6199.43</v>
      </c>
      <c r="L27" s="2645">
        <f>SUM(L19:L26)</f>
        <v>0</v>
      </c>
      <c r="M27" s="2646">
        <f>SUM(M19:M26)</f>
        <v>6199.43</v>
      </c>
      <c r="N27" s="2644">
        <f t="shared" ref="N27:O27" si="10">SUM(N19:N26)</f>
        <v>0</v>
      </c>
      <c r="O27" s="2645">
        <f t="shared" si="10"/>
        <v>0</v>
      </c>
      <c r="P27" s="2647">
        <f>SUM(P19:P26)</f>
        <v>0</v>
      </c>
      <c r="R27" s="2308">
        <f>IF(SUM(R19:R26)=$D$3,SUM(R19:R26),SUM(R19:R26)&amp;"误差"&amp;ROUND(SUM(R19:R26)-$D$3,2))</f>
        <v>9522.6299999999992</v>
      </c>
      <c r="S27" s="274" t="str">
        <f>IF(SUM(S19:S26)=$E$3,SUM(S19:S26),SUM(S19:S26)&amp;"误差"&amp;ROUND(SUM(S19:S26)-E3,2))</f>
        <v>95241.89误差0.01</v>
      </c>
    </row>
    <row r="28" spans="1:19">
      <c r="A28" s="138"/>
      <c r="B28" s="115" t="s">
        <v>227</v>
      </c>
      <c r="C28" s="136" t="s">
        <v>228</v>
      </c>
      <c r="D28" s="111">
        <f>ROUND($D$3*E28/$E$3,2)</f>
        <v>619.84</v>
      </c>
      <c r="E28" s="134">
        <f>SUM(F28:G28)</f>
        <v>6199.42</v>
      </c>
      <c r="F28" s="144">
        <f>'数据-基础表'!BQ5+'数据-基础表'!BS5</f>
        <v>206.75</v>
      </c>
      <c r="G28" s="145">
        <f>'数据-基础表'!BR5+'数据-基础表'!BT5</f>
        <v>5992.67</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619.84</v>
      </c>
      <c r="E30" s="134">
        <f>SUM(E28:E29)</f>
        <v>6199.42</v>
      </c>
      <c r="F30" s="134">
        <f>SUM(F28:F29)</f>
        <v>206.75</v>
      </c>
      <c r="G30" s="112">
        <f>SUM(G28:G29)</f>
        <v>5992.67</v>
      </c>
      <c r="H30" s="1987"/>
      <c r="I30" s="1987"/>
      <c r="J30" s="1987"/>
      <c r="K30" s="1987"/>
      <c r="L30" s="1987"/>
    </row>
    <row r="31" spans="1:19" ht="32.25" customHeight="1" thickBot="1">
      <c r="A31" s="1372"/>
      <c r="B31" s="1373" t="s">
        <v>229</v>
      </c>
      <c r="C31" s="2333" t="s">
        <v>2323</v>
      </c>
      <c r="D31" s="1374">
        <f>D27+D30</f>
        <v>9522.630000000001</v>
      </c>
      <c r="E31" s="1374">
        <f>E27+E30</f>
        <v>95241.88</v>
      </c>
      <c r="F31" s="1375">
        <f>F27+F30</f>
        <v>67874.899999999994</v>
      </c>
      <c r="G31" s="1376">
        <f>G27+G30</f>
        <v>27366.980000000003</v>
      </c>
      <c r="H31" s="1987"/>
      <c r="I31" s="1987"/>
      <c r="J31" s="1987"/>
      <c r="K31" s="1987"/>
      <c r="L31" s="1987"/>
    </row>
    <row r="32" spans="1:19">
      <c r="A32" s="1987"/>
      <c r="B32" s="2366" t="s">
        <v>2322</v>
      </c>
      <c r="C32" s="2675"/>
      <c r="D32" s="1203"/>
      <c r="E32" s="1203">
        <f>SUMIF(C19:C26,"*住宅*",E19:E26)</f>
        <v>0</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O6" activePane="bottomRight" state="frozen"/>
      <selection pane="topRight" activeCell="D1" sqref="D1"/>
      <selection pane="bottomLeft" activeCell="A4" sqref="A4"/>
      <selection pane="bottomRight" activeCell="U8" sqref="U8"/>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1">
        <f>项目基本情况!D3</f>
        <v>43032</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2834</v>
      </c>
      <c r="O5" s="163" t="s">
        <v>246</v>
      </c>
      <c r="P5" s="165" t="s">
        <v>247</v>
      </c>
      <c r="Q5" s="166" t="s">
        <v>248</v>
      </c>
      <c r="R5" s="167" t="s">
        <v>249</v>
      </c>
      <c r="S5" s="2648" t="s">
        <v>2576</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2375</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5" t="str">
        <f>'数据-汇总表'!C19</f>
        <v>办公</v>
      </c>
      <c r="B6" s="2340" t="str">
        <f>IF(A6=0,"","经营性")</f>
        <v>经营性</v>
      </c>
      <c r="C6" s="173" t="s">
        <v>1679</v>
      </c>
      <c r="D6" s="2311">
        <f>SUMIF(项目基本情况!D$15:I$15,C6,项目基本情况!D$18:I$18)</f>
        <v>50</v>
      </c>
      <c r="E6" s="2312">
        <f>IF(B6="","",SUMIF(项目基本情况!D$15:I$15,C6,项目基本情况!D$17:I$17))</f>
        <v>59479</v>
      </c>
      <c r="F6" s="174">
        <f>SUMIF(项目基本情况!D$15:I$15,C6,项目基本情况!D$19:I$19)</f>
        <v>45.06</v>
      </c>
      <c r="G6" s="175">
        <f>IF(ISERROR(ROUND(POWER(1+H6,D6-F6)*(POWER(1+H6,F6)-1)/(POWER(1+H6,D6)-1),3)),0,ROUND(POWER(1+H6,D6-F6)*(POWER(1+H6,F6)-1)/(POWER(1+H6,D6)-1),3))</f>
        <v>0.97399999999999998</v>
      </c>
      <c r="H6" s="3176">
        <v>0.05</v>
      </c>
      <c r="I6" s="3176">
        <v>0.06</v>
      </c>
      <c r="J6" s="176">
        <v>8.5000000000000006E-2</v>
      </c>
      <c r="K6" s="179">
        <f>SUMIF('数据-汇总表'!C$19:C$33,'数据-取费表'!A6,'数据-汇总表'!E$19:E$33)</f>
        <v>27804.46</v>
      </c>
      <c r="L6" s="193">
        <v>4000</v>
      </c>
      <c r="M6" s="177">
        <f t="shared" ref="M6:M14" si="0">ROUND(K6*L6/10000,0)</f>
        <v>11122</v>
      </c>
      <c r="N6" s="3056">
        <v>0</v>
      </c>
      <c r="O6" s="177">
        <f>IF($N$5="成新度","——",ROUND(M6*N6,0))</f>
        <v>0</v>
      </c>
      <c r="P6" s="178">
        <f>IF($N$5="成新度","——",M6-O6)</f>
        <v>11122</v>
      </c>
      <c r="Q6" s="3057">
        <v>0.2</v>
      </c>
      <c r="R6" s="179">
        <f>SUMIF('数据-汇总表'!C$19:C$33,A6,'数据-汇总表'!R$19:R$33)</f>
        <v>2973.54</v>
      </c>
      <c r="S6" s="132">
        <f>IF('数据-汇总表'!$I$17="按面积比例",SUMIF('数据-汇总表'!C$19:C$33,A6,'数据-汇总表'!K$19:K$33),SUMIF('数据-汇总表'!C$19:C$33,A6,'数据-汇总表'!N$19:N$33))</f>
        <v>1935.84</v>
      </c>
      <c r="T6" s="2237">
        <f>IF($T$4="按面积比例",IF(ISERROR(ROUND($M$14*S6/S$16,0)),"0",ROUND($M$14*S6/S$16,0)),"需自行计算录入")</f>
        <v>484</v>
      </c>
      <c r="U6" s="3177">
        <v>4</v>
      </c>
      <c r="V6" s="181">
        <v>3.5000000000000003E-2</v>
      </c>
      <c r="W6" s="181">
        <v>0.1</v>
      </c>
      <c r="X6" s="2324"/>
      <c r="Y6" s="182">
        <v>1</v>
      </c>
      <c r="Z6" s="183"/>
      <c r="AA6" s="176"/>
      <c r="AB6" s="176"/>
      <c r="AC6" s="2327"/>
      <c r="AD6" s="184"/>
      <c r="AE6" s="974">
        <f ca="1">IF(AN6="",0,SUMIF(INDIRECT("'"&amp;AN6&amp;"'"&amp;"!E:E"),$AE$5,INDIRECT("'"&amp;AN6&amp;"'"&amp;"!F:F")))</f>
        <v>45.06</v>
      </c>
      <c r="AF6" s="141"/>
      <c r="AG6" s="1215">
        <f>IF(AF6="",0,AE6-AF6)</f>
        <v>0</v>
      </c>
      <c r="AH6" s="185"/>
      <c r="AI6" s="187">
        <v>365</v>
      </c>
      <c r="AJ6" s="188"/>
      <c r="AK6" s="189">
        <v>1.4999999999999999E-2</v>
      </c>
      <c r="AL6" s="190">
        <v>2E-3</v>
      </c>
      <c r="AM6" s="3068">
        <v>0.02</v>
      </c>
      <c r="AN6" s="2419" t="s">
        <v>3134</v>
      </c>
      <c r="AO6" s="2003"/>
      <c r="AP6" s="1206">
        <f>ROUND(1-1/(1+H6)^F6,3)</f>
        <v>0.88900000000000001</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5" t="str">
        <f>'数据-汇总表'!C20</f>
        <v>商业</v>
      </c>
      <c r="B7" s="2340" t="str">
        <f t="shared" ref="B7:B13" si="1">IF(A7=0,"","经营性")</f>
        <v>经营性</v>
      </c>
      <c r="C7" s="173" t="s">
        <v>2984</v>
      </c>
      <c r="D7" s="2311">
        <f>SUMIF(项目基本情况!D$15:I$15,C7,项目基本情况!D$18:I$18)</f>
        <v>40</v>
      </c>
      <c r="E7" s="2312">
        <f>IF(B7="","",SUMIF(项目基本情况!D$15:I$15,C7,项目基本情况!D$17:I$17))</f>
        <v>55827</v>
      </c>
      <c r="F7" s="174">
        <f>SUMIF(项目基本情况!D$15:I$15,C7,项目基本情况!D$19:I$19)</f>
        <v>35.049999999999997</v>
      </c>
      <c r="G7" s="175">
        <f t="shared" ref="G7:G11" si="2">IF(ISERROR(ROUND(POWER(1+H7,D7-F7)*(POWER(1+H7,F7)-1)/(POWER(1+H7,D7)-1),3)),0,ROUND(POWER(1+H7,D7-F7)*(POWER(1+H7,F7)-1)/(POWER(1+H7,D7)-1),3))</f>
        <v>0.96</v>
      </c>
      <c r="H7" s="3176">
        <v>5.5E-2</v>
      </c>
      <c r="I7" s="3176">
        <v>6.5000000000000002E-2</v>
      </c>
      <c r="J7" s="176">
        <v>8.5000000000000006E-2</v>
      </c>
      <c r="K7" s="179">
        <f>SUMIF('数据-汇总表'!C$19:C$33,'数据-取费表'!A7,'数据-汇总表'!E$19:E$33)</f>
        <v>45465.4</v>
      </c>
      <c r="L7" s="193">
        <v>4000</v>
      </c>
      <c r="M7" s="177">
        <f t="shared" si="0"/>
        <v>18186</v>
      </c>
      <c r="N7" s="3056">
        <v>0</v>
      </c>
      <c r="O7" s="177">
        <f t="shared" ref="O7:O14" si="3">IF($N$5="成新度","——",ROUND(M7*N7,0))</f>
        <v>0</v>
      </c>
      <c r="P7" s="178">
        <f t="shared" ref="P7:P14" si="4">IF($N$5="成新度","——",M7-O7)</f>
        <v>18186</v>
      </c>
      <c r="Q7" s="3057">
        <v>0.25</v>
      </c>
      <c r="R7" s="179">
        <f>SUMIF('数据-汇总表'!C$19:C$33,A7,'数据-汇总表'!R$19:R$33)</f>
        <v>4862.29</v>
      </c>
      <c r="S7" s="132">
        <f>IF('数据-汇总表'!$I$17="按面积比例",SUMIF('数据-汇总表'!C$19:C$33,A7,'数据-汇总表'!K$19:K$33),SUMIF('数据-汇总表'!C$19:C$33,A7,'数据-汇总表'!N$19:N$33))</f>
        <v>3165.45</v>
      </c>
      <c r="T7" s="2237">
        <f t="shared" ref="T7:T13" si="5">IF($T$4="按面积比例",IF(ISERROR(ROUND($M$14*S7/S$16,0)),"0",ROUND($M$14*S7/S$16,0)),"需自行计算录入")</f>
        <v>791</v>
      </c>
      <c r="U7" s="3177">
        <v>4.5999999999999996</v>
      </c>
      <c r="V7" s="181">
        <v>3.5000000000000003E-2</v>
      </c>
      <c r="W7" s="181">
        <v>0.1</v>
      </c>
      <c r="X7" s="2324"/>
      <c r="Y7" s="182">
        <v>1</v>
      </c>
      <c r="Z7" s="183"/>
      <c r="AA7" s="176"/>
      <c r="AB7" s="176"/>
      <c r="AC7" s="2327"/>
      <c r="AD7" s="184"/>
      <c r="AE7" s="974">
        <f t="shared" ref="AE7:AE13" ca="1" si="6">IF(AN7="",0,SUMIF(INDIRECT("'"&amp;AN7&amp;"'"&amp;"!E:E"),$AE$5,INDIRECT("'"&amp;AN7&amp;"'"&amp;"!F:F")))</f>
        <v>35.049999999999997</v>
      </c>
      <c r="AF7" s="141"/>
      <c r="AG7" s="1215">
        <f t="shared" ref="AG7:AG13" si="7">IF(AF7="",0,AE7-AF7)</f>
        <v>0</v>
      </c>
      <c r="AH7" s="185"/>
      <c r="AI7" s="187">
        <v>365</v>
      </c>
      <c r="AJ7" s="188"/>
      <c r="AK7" s="189">
        <v>1.4999999999999999E-2</v>
      </c>
      <c r="AL7" s="190">
        <v>2E-3</v>
      </c>
      <c r="AM7" s="3068">
        <v>0.02</v>
      </c>
      <c r="AN7" s="2419" t="s">
        <v>3132</v>
      </c>
      <c r="AO7" s="2003"/>
      <c r="AP7" s="1206">
        <f t="shared" ref="AP7:AP13" si="8">ROUND(1-1/(1+H7)^F7,3)</f>
        <v>0.84699999999999998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5" t="str">
        <f>'数据-汇总表'!C21</f>
        <v>地下车库</v>
      </c>
      <c r="B8" s="2340" t="str">
        <f t="shared" si="1"/>
        <v>经营性</v>
      </c>
      <c r="C8" s="173" t="s">
        <v>2985</v>
      </c>
      <c r="D8" s="2311">
        <f>SUMIF(项目基本情况!D$15:I$15,C8,项目基本情况!D$18:I$18)</f>
        <v>50</v>
      </c>
      <c r="E8" s="2312">
        <f>IF(B8="","",SUMIF(项目基本情况!D$15:I$15,C8,项目基本情况!D$17:I$17))</f>
        <v>59479</v>
      </c>
      <c r="F8" s="174">
        <f>SUMIF(项目基本情况!D$15:I$15,C8,项目基本情况!D$19:I$19)</f>
        <v>45.06</v>
      </c>
      <c r="G8" s="175">
        <f t="shared" si="2"/>
        <v>0.97</v>
      </c>
      <c r="H8" s="3176">
        <v>4.4999999999999998E-2</v>
      </c>
      <c r="I8" s="3176">
        <v>0.05</v>
      </c>
      <c r="J8" s="176">
        <v>8.5000000000000006E-2</v>
      </c>
      <c r="K8" s="179">
        <f>SUMIF('数据-汇总表'!C$19:C$33,'数据-取费表'!A8,'数据-汇总表'!E$19:E$33)</f>
        <v>15772.600000000002</v>
      </c>
      <c r="L8" s="193">
        <v>3000</v>
      </c>
      <c r="M8" s="177">
        <f>ROUND(K8*L8/10000,0)</f>
        <v>4732</v>
      </c>
      <c r="N8" s="3056">
        <v>0</v>
      </c>
      <c r="O8" s="177">
        <f t="shared" si="3"/>
        <v>0</v>
      </c>
      <c r="P8" s="178">
        <f t="shared" si="4"/>
        <v>4732</v>
      </c>
      <c r="Q8" s="3057">
        <v>0.1</v>
      </c>
      <c r="R8" s="179">
        <f>SUMIF('数据-汇总表'!C$19:C$33,A8,'数据-汇总表'!R$19:R$33)</f>
        <v>1686.8</v>
      </c>
      <c r="S8" s="132">
        <f>IF('数据-汇总表'!$I$17="按面积比例",SUMIF('数据-汇总表'!C$19:C$33,A8,'数据-汇总表'!K$19:K$33),SUMIF('数据-汇总表'!C$19:C$33,A8,'数据-汇总表'!N$19:N$33))</f>
        <v>1098.1400000000001</v>
      </c>
      <c r="T8" s="2237">
        <f t="shared" si="5"/>
        <v>275</v>
      </c>
      <c r="U8" s="3177">
        <v>800</v>
      </c>
      <c r="V8" s="181">
        <v>2.5000000000000001E-2</v>
      </c>
      <c r="W8" s="181">
        <v>0.05</v>
      </c>
      <c r="X8" s="2324"/>
      <c r="Y8" s="182">
        <v>1</v>
      </c>
      <c r="Z8" s="183"/>
      <c r="AA8" s="176"/>
      <c r="AB8" s="176"/>
      <c r="AC8" s="2327"/>
      <c r="AD8" s="184"/>
      <c r="AE8" s="974">
        <f t="shared" ca="1" si="6"/>
        <v>45.06</v>
      </c>
      <c r="AF8" s="141"/>
      <c r="AG8" s="1215">
        <f t="shared" si="7"/>
        <v>0</v>
      </c>
      <c r="AH8" s="3178">
        <v>450</v>
      </c>
      <c r="AI8" s="187">
        <v>12</v>
      </c>
      <c r="AJ8" s="188"/>
      <c r="AK8" s="189">
        <v>1.4999999999999999E-2</v>
      </c>
      <c r="AL8" s="190">
        <v>1.5E-3</v>
      </c>
      <c r="AM8" s="3068">
        <v>1.4999999999999999E-2</v>
      </c>
      <c r="AN8" s="2419" t="s">
        <v>3136</v>
      </c>
      <c r="AO8" s="2003"/>
      <c r="AP8" s="1206">
        <f t="shared" si="8"/>
        <v>0.86199999999999999</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5"/>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f t="shared" si="5"/>
        <v>0</v>
      </c>
      <c r="U9" s="180"/>
      <c r="V9" s="181"/>
      <c r="W9" s="181"/>
      <c r="X9" s="2324"/>
      <c r="Y9" s="182"/>
      <c r="Z9" s="183"/>
      <c r="AA9" s="176"/>
      <c r="AB9" s="176"/>
      <c r="AC9" s="2327"/>
      <c r="AD9" s="184"/>
      <c r="AE9" s="974">
        <f t="shared" ca="1" si="6"/>
        <v>0</v>
      </c>
      <c r="AF9" s="141"/>
      <c r="AG9" s="1215">
        <f t="shared" si="7"/>
        <v>0</v>
      </c>
      <c r="AH9" s="141"/>
      <c r="AI9" s="187"/>
      <c r="AJ9" s="188"/>
      <c r="AK9" s="189"/>
      <c r="AL9" s="190"/>
      <c r="AM9" s="2417"/>
      <c r="AN9" s="2419"/>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f t="shared" si="5"/>
        <v>0</v>
      </c>
      <c r="U10" s="180"/>
      <c r="V10" s="181"/>
      <c r="W10" s="181"/>
      <c r="X10" s="2324"/>
      <c r="Y10" s="182"/>
      <c r="Z10" s="183"/>
      <c r="AA10" s="176"/>
      <c r="AB10" s="176"/>
      <c r="AC10" s="2327"/>
      <c r="AD10" s="184"/>
      <c r="AE10" s="974">
        <f t="shared" ca="1" si="6"/>
        <v>0</v>
      </c>
      <c r="AF10" s="141"/>
      <c r="AG10" s="1215">
        <f t="shared" si="7"/>
        <v>0</v>
      </c>
      <c r="AH10" s="141"/>
      <c r="AI10" s="187"/>
      <c r="AJ10" s="188"/>
      <c r="AK10" s="189"/>
      <c r="AL10" s="190"/>
      <c r="AM10" s="2417"/>
      <c r="AN10" s="2419"/>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4">
        <f t="shared" ca="1" si="6"/>
        <v>0</v>
      </c>
      <c r="AF11" s="141"/>
      <c r="AG11" s="1215">
        <f t="shared" si="7"/>
        <v>0</v>
      </c>
      <c r="AH11" s="141"/>
      <c r="AI11" s="187"/>
      <c r="AJ11" s="188"/>
      <c r="AK11" s="196"/>
      <c r="AL11" s="197"/>
      <c r="AM11" s="1820"/>
      <c r="AN11" s="2419"/>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4">
        <f t="shared" ca="1" si="6"/>
        <v>0</v>
      </c>
      <c r="AF12" s="141"/>
      <c r="AG12" s="1215">
        <f t="shared" si="7"/>
        <v>0</v>
      </c>
      <c r="AH12" s="141"/>
      <c r="AI12" s="187"/>
      <c r="AJ12" s="188"/>
      <c r="AK12" s="196"/>
      <c r="AL12" s="197"/>
      <c r="AM12" s="1820"/>
      <c r="AN12" s="2419"/>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4">
        <f t="shared" ca="1" si="6"/>
        <v>0</v>
      </c>
      <c r="AF13" s="141"/>
      <c r="AG13" s="1215">
        <f t="shared" si="7"/>
        <v>0</v>
      </c>
      <c r="AH13" s="141"/>
      <c r="AI13" s="187"/>
      <c r="AJ13" s="188"/>
      <c r="AK13" s="189"/>
      <c r="AL13" s="190"/>
      <c r="AM13" s="2417"/>
      <c r="AN13" s="2419"/>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06" t="s">
        <v>2315</v>
      </c>
      <c r="B14" s="2309" t="s">
        <v>1681</v>
      </c>
      <c r="C14" s="2310" t="s">
        <v>2315</v>
      </c>
      <c r="D14" s="2311"/>
      <c r="E14" s="2312"/>
      <c r="F14" s="174"/>
      <c r="G14" s="175"/>
      <c r="H14" s="2313"/>
      <c r="I14" s="2313"/>
      <c r="J14" s="2313"/>
      <c r="K14" s="179">
        <f>SUMIF('数据-汇总表'!C$19:C$33,'数据-取费表'!A14,'数据-汇总表'!E$19:E$33)</f>
        <v>6199.42</v>
      </c>
      <c r="L14" s="193">
        <v>2500</v>
      </c>
      <c r="M14" s="177">
        <f t="shared" si="0"/>
        <v>1550</v>
      </c>
      <c r="N14" s="194">
        <v>0</v>
      </c>
      <c r="O14" s="177">
        <f t="shared" si="3"/>
        <v>0</v>
      </c>
      <c r="P14" s="178">
        <f t="shared" si="4"/>
        <v>1550</v>
      </c>
      <c r="Q14" s="2321"/>
      <c r="R14" s="179"/>
      <c r="S14" s="132"/>
      <c r="T14" s="2320"/>
      <c r="U14" s="976"/>
      <c r="V14" s="2323"/>
      <c r="W14" s="2323"/>
      <c r="X14" s="2324"/>
      <c r="Y14" s="2325"/>
      <c r="Z14" s="136"/>
      <c r="AA14" s="2326"/>
      <c r="AB14" s="2326"/>
      <c r="AC14" s="2327"/>
      <c r="AD14" s="2324"/>
      <c r="AE14" s="974"/>
      <c r="AF14" s="2299"/>
      <c r="AG14" s="1215"/>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6"/>
      <c r="V15" s="2323"/>
      <c r="W15" s="2323"/>
      <c r="X15" s="2324"/>
      <c r="Y15" s="2325"/>
      <c r="Z15" s="136"/>
      <c r="AA15" s="2326"/>
      <c r="AB15" s="2326"/>
      <c r="AC15" s="2327"/>
      <c r="AD15" s="2324"/>
      <c r="AE15" s="974"/>
      <c r="AF15" s="2299"/>
      <c r="AG15" s="1215"/>
      <c r="AH15" s="2299"/>
      <c r="AI15" s="1574"/>
      <c r="AJ15" s="1574"/>
      <c r="AK15" s="2328"/>
      <c r="AL15" s="2329"/>
      <c r="AM15" s="2330"/>
      <c r="AN15" s="2003">
        <f>'数据-汇总表'!G21/35</f>
        <v>450.64571428571435</v>
      </c>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0.96599999999999997</v>
      </c>
      <c r="H16" s="203">
        <f>ROUND(SUMPRODUCT(H6:H13,K6:K13)/SUMPRODUCT((H6:H13&gt;0)*(K6:K13)),3)</f>
        <v>5.1999999999999998E-2</v>
      </c>
      <c r="I16" s="204"/>
      <c r="J16" s="204"/>
      <c r="K16" s="205">
        <f>SUM(K6:K15)</f>
        <v>95241.88</v>
      </c>
      <c r="L16" s="206">
        <f>ROUND(M16*10000/SUM(K6:K14),0)</f>
        <v>3737</v>
      </c>
      <c r="M16" s="206">
        <f>SUM(M6:M14)</f>
        <v>35590</v>
      </c>
      <c r="N16" s="207">
        <f>ROUND(SUMPRODUCT(M6:M14,N6:N14)/M16,3)</f>
        <v>0</v>
      </c>
      <c r="O16" s="206">
        <f>SUM(O6:O14)</f>
        <v>0</v>
      </c>
      <c r="P16" s="206">
        <f>SUM(P6:P14)</f>
        <v>35590</v>
      </c>
      <c r="Q16" s="208">
        <f>ROUND(SUMPRODUCT(Q6:Q13,K6:K13)/SUMPRODUCT((Q6:Q13&gt;0)*(K6:K13)),2)</f>
        <v>0.21</v>
      </c>
      <c r="R16" s="2314">
        <f>SUM(R6:R13)</f>
        <v>9522.6299999999992</v>
      </c>
      <c r="S16" s="209">
        <f>SUM(S6:S13)</f>
        <v>6199.43</v>
      </c>
      <c r="T16" s="210">
        <f>IF(SUMIF(T6:T13,"&lt;9E307")=M14,SUMIF(T6:T13,"&lt;9E307"),"有误，请检查")</f>
        <v>1550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0.86299999999999999</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2337</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2336</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2339</v>
      </c>
      <c r="B27" s="227"/>
      <c r="C27" s="2370" t="s">
        <v>2343</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2340</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2338</v>
      </c>
      <c r="B29" s="232"/>
      <c r="C29" s="1555" t="s">
        <v>2341</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1">
        <v>0.03</v>
      </c>
      <c r="C33" s="2368" t="s">
        <v>2899</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68" t="s">
        <v>2900</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2901</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2902</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68" t="s">
        <v>2903</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68" t="s">
        <v>2903</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2459</v>
      </c>
      <c r="B39" s="802">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2460</v>
      </c>
      <c r="B40" s="2508">
        <f ca="1">存贷款利率!E2</f>
        <v>4.7500000000000001E-2</v>
      </c>
      <c r="C40" s="2368" t="s">
        <v>2342</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5.5000000000000007E-2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29">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5.000000000000001E-3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0.05</v>
      </c>
      <c r="C44" s="2368" t="s">
        <v>2904</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2905</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2906</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03" t="s">
        <v>2907</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4" t="s">
        <v>2908</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4" t="s">
        <v>2909</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1.5</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3179" t="s">
        <v>1411</v>
      </c>
      <c r="C53" s="3105" t="s">
        <v>2910</v>
      </c>
      <c r="D53" s="3106" t="s">
        <v>2911</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8" t="s">
        <v>2912</v>
      </c>
      <c r="B54" s="186"/>
      <c r="C54" s="1997">
        <v>30</v>
      </c>
      <c r="D54" s="3107"/>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8" t="s">
        <v>2913</v>
      </c>
      <c r="B55" s="186"/>
      <c r="C55" s="1997">
        <v>24</v>
      </c>
      <c r="D55" s="3107"/>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8" t="s">
        <v>2914</v>
      </c>
      <c r="B56" s="186"/>
      <c r="C56" s="1997">
        <v>18</v>
      </c>
      <c r="D56" s="3107"/>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8" t="s">
        <v>2915</v>
      </c>
      <c r="B57" s="186"/>
      <c r="C57" s="1997">
        <v>12</v>
      </c>
      <c r="D57" s="3107"/>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8" t="s">
        <v>2916</v>
      </c>
      <c r="B58" s="186"/>
      <c r="C58" s="1997">
        <v>3</v>
      </c>
      <c r="D58" s="3107"/>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8" t="s">
        <v>2917</v>
      </c>
      <c r="B59" s="186">
        <v>1.5</v>
      </c>
      <c r="C59" s="1997">
        <v>1.5</v>
      </c>
      <c r="D59" s="3107"/>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8" t="s">
        <v>2918</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8" t="s">
        <v>2919</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8" t="s">
        <v>2920</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9" t="s">
        <v>2921</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8" t="s">
        <v>1665</v>
      </c>
      <c r="B1" s="3279"/>
      <c r="C1" s="3279"/>
      <c r="D1" s="3279"/>
      <c r="E1" s="3279"/>
      <c r="F1" s="3279"/>
      <c r="G1" s="3279"/>
      <c r="H1" s="2005"/>
      <c r="I1" s="2006"/>
      <c r="J1" s="2007"/>
      <c r="K1" s="2005"/>
      <c r="L1" s="2006"/>
      <c r="M1" s="2007"/>
      <c r="N1" s="2005"/>
      <c r="O1" s="2006"/>
      <c r="P1" s="2007"/>
      <c r="Q1" s="2008"/>
      <c r="R1" s="2009"/>
    </row>
    <row r="2" spans="1:18" ht="14.25" thickBot="1">
      <c r="A2" s="1223"/>
      <c r="B2" s="1224"/>
      <c r="C2" s="1225" t="s">
        <v>1666</v>
      </c>
      <c r="D2" s="1226"/>
      <c r="E2" s="1227"/>
      <c r="F2" s="1228"/>
      <c r="G2" s="1225" t="s">
        <v>1667</v>
      </c>
      <c r="H2" s="2011"/>
      <c r="I2" s="2011"/>
      <c r="J2" s="2011"/>
      <c r="K2" s="2011"/>
      <c r="L2" s="2011"/>
      <c r="M2" s="2011"/>
      <c r="N2" s="2011"/>
      <c r="O2" s="2011"/>
      <c r="P2" s="2011"/>
      <c r="Q2" s="2011"/>
      <c r="R2" s="2011"/>
    </row>
    <row r="3" spans="1:18" ht="54">
      <c r="A3" s="1229" t="s">
        <v>1668</v>
      </c>
      <c r="B3" s="1230" t="s">
        <v>1655</v>
      </c>
      <c r="C3" s="3110" t="s">
        <v>2928</v>
      </c>
      <c r="D3" s="2012"/>
      <c r="E3" s="1231" t="s">
        <v>1668</v>
      </c>
      <c r="F3" s="1232" t="s">
        <v>1656</v>
      </c>
      <c r="G3" s="3114" t="s">
        <v>2927</v>
      </c>
      <c r="H3" s="2011"/>
      <c r="I3" s="2011"/>
      <c r="J3" s="2011"/>
      <c r="K3" s="2011"/>
      <c r="L3" s="2011"/>
      <c r="M3" s="2011"/>
      <c r="N3" s="2011"/>
      <c r="O3" s="2011"/>
      <c r="P3" s="2011"/>
      <c r="Q3" s="2011"/>
      <c r="R3" s="2011"/>
    </row>
    <row r="4" spans="1:18" ht="41.25">
      <c r="A4" s="1231"/>
      <c r="B4" s="1233" t="s">
        <v>1669</v>
      </c>
      <c r="C4" s="3111" t="s">
        <v>2929</v>
      </c>
      <c r="D4" s="2012"/>
      <c r="E4" s="1234"/>
      <c r="F4" s="1235" t="s">
        <v>1670</v>
      </c>
      <c r="G4" s="3112" t="s">
        <v>2924</v>
      </c>
      <c r="H4" s="2011"/>
      <c r="I4" s="2011"/>
      <c r="J4" s="2011"/>
      <c r="K4" s="2011"/>
      <c r="L4" s="2011"/>
      <c r="M4" s="2011"/>
      <c r="N4" s="2011"/>
      <c r="O4" s="2011"/>
      <c r="P4" s="2011"/>
      <c r="Q4" s="2011"/>
      <c r="R4" s="2011"/>
    </row>
    <row r="5" spans="1:18" ht="41.25">
      <c r="A5" s="1231"/>
      <c r="B5" s="1233" t="s">
        <v>1671</v>
      </c>
      <c r="C5" s="3111" t="s">
        <v>2930</v>
      </c>
      <c r="D5" s="2012"/>
      <c r="E5" s="1234"/>
      <c r="F5" s="1233" t="s">
        <v>2550</v>
      </c>
      <c r="G5" s="3112" t="s">
        <v>2925</v>
      </c>
      <c r="H5" s="2011"/>
      <c r="I5" s="2011"/>
      <c r="J5" s="2011"/>
      <c r="K5" s="2011"/>
      <c r="L5" s="2011"/>
      <c r="M5" s="2011"/>
      <c r="N5" s="2011"/>
      <c r="O5" s="2011"/>
      <c r="P5" s="2011"/>
      <c r="Q5" s="2011"/>
      <c r="R5" s="2011"/>
    </row>
    <row r="6" spans="1:18" ht="54">
      <c r="A6" s="1231"/>
      <c r="B6" s="1233" t="s">
        <v>1657</v>
      </c>
      <c r="C6" s="3112" t="s">
        <v>2924</v>
      </c>
      <c r="D6" s="2012"/>
      <c r="E6" s="1234"/>
      <c r="F6" s="1233" t="s">
        <v>2551</v>
      </c>
      <c r="G6" s="3112" t="s">
        <v>2922</v>
      </c>
      <c r="H6" s="2011"/>
      <c r="I6" s="2011"/>
      <c r="J6" s="2011"/>
      <c r="K6" s="2011"/>
      <c r="L6" s="2011"/>
      <c r="M6" s="2011"/>
      <c r="N6" s="2011"/>
      <c r="O6" s="2011"/>
      <c r="P6" s="2011"/>
      <c r="Q6" s="2011"/>
      <c r="R6" s="2011"/>
    </row>
    <row r="7" spans="1:18" ht="41.25" thickBot="1">
      <c r="A7" s="1231"/>
      <c r="B7" s="1233" t="s">
        <v>2550</v>
      </c>
      <c r="C7" s="3112" t="s">
        <v>2925</v>
      </c>
      <c r="D7" s="2013"/>
      <c r="E7" s="1236"/>
      <c r="F7" s="1237" t="s">
        <v>1672</v>
      </c>
      <c r="G7" s="3115" t="s">
        <v>2926</v>
      </c>
      <c r="H7" s="2011"/>
      <c r="I7" s="2011"/>
      <c r="J7" s="2011"/>
      <c r="K7" s="2011"/>
      <c r="L7" s="2011"/>
      <c r="M7" s="2011"/>
      <c r="N7" s="2011"/>
      <c r="O7" s="2011"/>
      <c r="P7" s="2011"/>
      <c r="Q7" s="2011"/>
      <c r="R7" s="2011"/>
    </row>
    <row r="8" spans="1:18" ht="27">
      <c r="A8" s="1231"/>
      <c r="B8" s="1233" t="s">
        <v>2551</v>
      </c>
      <c r="C8" s="3112" t="s">
        <v>2922</v>
      </c>
      <c r="D8" s="2013"/>
      <c r="E8" s="2013"/>
      <c r="F8" s="1556"/>
      <c r="G8" s="1556"/>
      <c r="H8" s="2011"/>
      <c r="I8" s="2011"/>
      <c r="J8" s="2011"/>
      <c r="K8" s="2011"/>
      <c r="L8" s="2011"/>
      <c r="M8" s="2011"/>
      <c r="N8" s="2011"/>
      <c r="O8" s="2011"/>
      <c r="P8" s="2011"/>
      <c r="Q8" s="2011"/>
      <c r="R8" s="2011"/>
    </row>
    <row r="9" spans="1:18" ht="40.5">
      <c r="A9" s="1231"/>
      <c r="B9" s="1233" t="s">
        <v>1658</v>
      </c>
      <c r="C9" s="3111" t="s">
        <v>2923</v>
      </c>
      <c r="D9" s="2012"/>
      <c r="E9" s="2013"/>
      <c r="F9" s="1556"/>
      <c r="G9" s="1556"/>
      <c r="H9" s="2011"/>
      <c r="I9" s="2011"/>
      <c r="J9" s="2011"/>
      <c r="K9" s="2011"/>
      <c r="L9" s="2011"/>
      <c r="M9" s="2011"/>
      <c r="N9" s="2011"/>
      <c r="O9" s="2011"/>
      <c r="P9" s="2011"/>
      <c r="Q9" s="2011"/>
      <c r="R9" s="2011"/>
    </row>
    <row r="10" spans="1:18" s="2019" customFormat="1" ht="15" thickBot="1">
      <c r="A10" s="1238"/>
      <c r="B10" s="1239" t="s">
        <v>1673</v>
      </c>
      <c r="C10" s="3113"/>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6"/>
      <c r="E13" s="2605"/>
      <c r="F13" s="2605"/>
      <c r="G13" s="2605"/>
    </row>
    <row r="14" spans="1:18" ht="14.25" thickBot="1">
      <c r="A14" s="1240"/>
      <c r="B14" s="1241"/>
      <c r="C14" s="1242" t="s">
        <v>1666</v>
      </c>
      <c r="D14" s="2012"/>
      <c r="E14" s="1243"/>
      <c r="F14" s="1243"/>
      <c r="G14" s="1225" t="s">
        <v>1667</v>
      </c>
    </row>
    <row r="15" spans="1:18" ht="54">
      <c r="A15" s="2615" t="s">
        <v>1659</v>
      </c>
      <c r="B15" s="1244" t="s">
        <v>1655</v>
      </c>
      <c r="C15" s="1245" t="str">
        <f>C3</f>
        <v>估价对象周边居住用地比例、居住小区规模和社区发展完善程度，综合评价居住社区成熟度一般</v>
      </c>
      <c r="D15" s="2012"/>
      <c r="E15" s="2612" t="s">
        <v>1660</v>
      </c>
      <c r="F15" s="1244" t="s">
        <v>1675</v>
      </c>
      <c r="G15" s="1246" t="str">
        <f>G3</f>
        <v>估价对象位于XX开发区，园区建设成熟度XX，产业集聚程度XX</v>
      </c>
    </row>
    <row r="16" spans="1:18" ht="40.5">
      <c r="A16" s="2616"/>
      <c r="B16" s="1247" t="s">
        <v>1669</v>
      </c>
      <c r="C16" s="1248" t="str">
        <f>C4</f>
        <v>估价对象位于XX商圈，周边商业氛围成熟，人流量大，商业繁华度好</v>
      </c>
      <c r="D16" s="2012"/>
      <c r="E16" s="2613"/>
      <c r="F16" s="1249" t="s">
        <v>1670</v>
      </c>
      <c r="G16" s="1007" t="str">
        <f>G4</f>
        <v>估价对象周边道路状况、公共交通通达情况、停车便捷程度，综合评价交通便捷度较好</v>
      </c>
    </row>
    <row r="17" spans="1:7" ht="40.5">
      <c r="A17" s="2616"/>
      <c r="B17" s="1247" t="s">
        <v>1671</v>
      </c>
      <c r="C17" s="1248" t="str">
        <f>C5</f>
        <v>估价对象位于XX商圈，周边办公楼项目较多，入驻率高，办公集聚程度较好</v>
      </c>
      <c r="D17" s="2013"/>
      <c r="E17" s="2613"/>
      <c r="F17" s="1249" t="s">
        <v>1676</v>
      </c>
      <c r="G17" s="2823"/>
    </row>
    <row r="18" spans="1:7" ht="54">
      <c r="A18" s="2616"/>
      <c r="B18" s="1249" t="s">
        <v>1657</v>
      </c>
      <c r="C18" s="1007" t="str">
        <f>C6</f>
        <v>估价对象周边道路状况、公共交通通达情况、停车便捷程度，综合评价交通便捷度较好</v>
      </c>
      <c r="D18" s="2013"/>
      <c r="E18" s="2613"/>
      <c r="F18" s="1249" t="s">
        <v>1672</v>
      </c>
      <c r="G18" s="1007" t="str">
        <f>G7</f>
        <v>该园区内是否有污染型企业，绿化情况，卫生条件，整体环境状况判断</v>
      </c>
    </row>
    <row r="19" spans="1:7" ht="27">
      <c r="A19" s="2616"/>
      <c r="B19" s="1249" t="s">
        <v>1661</v>
      </c>
      <c r="C19" s="2823"/>
      <c r="D19" s="2012"/>
      <c r="E19" s="2613"/>
      <c r="F19" s="1233" t="s">
        <v>2550</v>
      </c>
      <c r="G19" s="1007" t="str">
        <f>G5</f>
        <v>估价对象所在区域公共配套设施齐备情况</v>
      </c>
    </row>
    <row r="20" spans="1:7" ht="40.5">
      <c r="A20" s="2616"/>
      <c r="B20" s="1249" t="s">
        <v>1662</v>
      </c>
      <c r="C20" s="1248" t="str">
        <f>C9</f>
        <v>区域自然环境：；人文环境；综合评价环境状况一般</v>
      </c>
      <c r="D20" s="2013"/>
      <c r="E20" s="2613"/>
      <c r="F20" s="1233" t="s">
        <v>2551</v>
      </c>
      <c r="G20" s="1007" t="str">
        <f>G6</f>
        <v>估价对象所在区域基础设施水平</v>
      </c>
    </row>
    <row r="21" spans="1:7" ht="27">
      <c r="A21" s="2616"/>
      <c r="B21" s="1233" t="s">
        <v>2550</v>
      </c>
      <c r="C21" s="1007" t="str">
        <f>C7</f>
        <v>估价对象所在区域公共配套设施齐备情况</v>
      </c>
      <c r="D21" s="2012"/>
      <c r="E21" s="2613"/>
      <c r="F21" s="1249" t="s">
        <v>1663</v>
      </c>
      <c r="G21" s="3116"/>
    </row>
    <row r="22" spans="1:7" ht="27">
      <c r="A22" s="2616"/>
      <c r="B22" s="1233" t="s">
        <v>2551</v>
      </c>
      <c r="C22" s="1007" t="str">
        <f>C8</f>
        <v>估价对象所在区域基础设施水平</v>
      </c>
      <c r="D22" s="2012"/>
      <c r="E22" s="2613"/>
      <c r="F22" s="1249" t="s">
        <v>1673</v>
      </c>
      <c r="G22" s="2823"/>
    </row>
    <row r="23" spans="1:7" ht="15" thickBot="1">
      <c r="A23" s="2616"/>
      <c r="B23" s="1249" t="s">
        <v>1663</v>
      </c>
      <c r="C23" s="3116"/>
      <c r="E23" s="2614"/>
      <c r="F23" s="1250" t="s">
        <v>1677</v>
      </c>
      <c r="G23" s="3117"/>
    </row>
    <row r="24" spans="1:7" ht="14.25" thickBot="1">
      <c r="A24" s="2617"/>
      <c r="B24" s="1250" t="s">
        <v>1664</v>
      </c>
      <c r="C24" s="1251">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4" t="s">
        <v>2850</v>
      </c>
      <c r="B1" s="3074">
        <f>SUM(B14:B23)</f>
        <v>95241.88</v>
      </c>
      <c r="C1" s="3075"/>
      <c r="D1" s="3075"/>
      <c r="E1" s="3075"/>
      <c r="F1" s="3075"/>
    </row>
    <row r="2" spans="1:9" ht="16.5">
      <c r="A2" s="3074" t="s">
        <v>2851</v>
      </c>
      <c r="B2" s="3074">
        <f>SUM(C14:C23)</f>
        <v>9522.6299999999992</v>
      </c>
      <c r="C2" s="3075"/>
      <c r="D2" s="3075"/>
      <c r="E2" s="3075"/>
      <c r="F2" s="3075"/>
    </row>
    <row r="3" spans="1:9" ht="16.5">
      <c r="A3" s="3074" t="s">
        <v>2852</v>
      </c>
      <c r="B3" s="3076">
        <f>项目基本情况!D3</f>
        <v>43032</v>
      </c>
      <c r="C3" s="3075"/>
      <c r="D3" s="3075"/>
      <c r="E3" s="3075"/>
      <c r="F3" s="3075"/>
    </row>
    <row r="4" spans="1:9" ht="33">
      <c r="A4" s="3074" t="s">
        <v>2853</v>
      </c>
      <c r="B4" s="3074" t="s">
        <v>2854</v>
      </c>
      <c r="C4" s="3074" t="s">
        <v>2855</v>
      </c>
      <c r="D4" s="3074" t="s">
        <v>2856</v>
      </c>
      <c r="E4" s="3075"/>
      <c r="F4" s="3075"/>
    </row>
    <row r="5" spans="1:9" ht="16.5">
      <c r="A5" s="3074" t="s">
        <v>2857</v>
      </c>
      <c r="B5" s="3074">
        <f ca="1">SUM(D14:D23)</f>
        <v>96829</v>
      </c>
      <c r="C5" s="3074">
        <f ca="1">ROUND(B5*10000/$B$1,0)</f>
        <v>10167</v>
      </c>
      <c r="D5" s="3074">
        <f ca="1">ROUND(B5*10000/$B$2,0)</f>
        <v>101683</v>
      </c>
      <c r="E5" s="3075"/>
      <c r="F5" s="3075"/>
    </row>
    <row r="6" spans="1:9" ht="16.5">
      <c r="A6" s="3074" t="s">
        <v>2858</v>
      </c>
      <c r="B6" s="3074">
        <f ca="1">SUM(G14:G23)</f>
        <v>96829</v>
      </c>
      <c r="C6" s="3074">
        <f t="shared" ref="C6:C8" ca="1" si="0">ROUND(B6*10000/$B$1,0)</f>
        <v>10167</v>
      </c>
      <c r="D6" s="3074">
        <f t="shared" ref="D6:D8" ca="1" si="1">ROUND(B6*10000/$B$2,0)</f>
        <v>101683</v>
      </c>
      <c r="E6" s="3075"/>
      <c r="F6" s="3075"/>
    </row>
    <row r="7" spans="1:9" ht="16.5">
      <c r="A7" s="3074" t="s">
        <v>2859</v>
      </c>
      <c r="B7" s="3074">
        <f>SUM(H14:H23)</f>
        <v>0</v>
      </c>
      <c r="C7" s="3074">
        <f t="shared" si="0"/>
        <v>0</v>
      </c>
      <c r="D7" s="3074">
        <f t="shared" si="1"/>
        <v>0</v>
      </c>
      <c r="E7" s="3075"/>
      <c r="F7" s="3075"/>
    </row>
    <row r="8" spans="1:9" ht="16.5">
      <c r="A8" s="3074" t="s">
        <v>2860</v>
      </c>
      <c r="B8" s="3074">
        <f>SUM(I14:I23)</f>
        <v>0</v>
      </c>
      <c r="C8" s="3074">
        <f t="shared" si="0"/>
        <v>0</v>
      </c>
      <c r="D8" s="3074">
        <f t="shared" si="1"/>
        <v>0</v>
      </c>
      <c r="E8" s="3075"/>
      <c r="F8" s="3075"/>
    </row>
    <row r="9" spans="1:9" ht="16.5">
      <c r="A9" s="3074" t="s">
        <v>2861</v>
      </c>
      <c r="B9" s="3077"/>
      <c r="C9" s="3075"/>
      <c r="D9" s="3075"/>
      <c r="E9" s="3075"/>
      <c r="F9" s="3075"/>
    </row>
    <row r="10" spans="1:9" ht="16.5">
      <c r="A10" s="3074" t="s">
        <v>2862</v>
      </c>
      <c r="B10" s="3077"/>
      <c r="C10" s="3075"/>
      <c r="D10" s="3075"/>
      <c r="E10" s="3075"/>
      <c r="F10" s="3075"/>
    </row>
    <row r="11" spans="1:9" ht="16.5">
      <c r="A11" s="3074" t="s">
        <v>2879</v>
      </c>
      <c r="B11" s="3077"/>
      <c r="C11" s="3075"/>
      <c r="D11" s="3075"/>
      <c r="E11" s="3075"/>
      <c r="F11" s="3075"/>
    </row>
    <row r="12" spans="1:9" ht="16.5">
      <c r="A12" s="3075"/>
      <c r="B12" s="3075"/>
      <c r="C12" s="3075"/>
      <c r="D12" s="3075"/>
      <c r="E12" s="3075"/>
      <c r="F12" s="3075"/>
    </row>
    <row r="13" spans="1:9" ht="33">
      <c r="A13" s="3080" t="s">
        <v>2878</v>
      </c>
      <c r="B13" s="3078" t="s">
        <v>2850</v>
      </c>
      <c r="C13" s="3078" t="s">
        <v>2851</v>
      </c>
      <c r="D13" s="3078" t="s">
        <v>2863</v>
      </c>
      <c r="E13" s="3074" t="s">
        <v>2877</v>
      </c>
      <c r="F13" s="3074" t="s">
        <v>2856</v>
      </c>
      <c r="G13" s="3078" t="s">
        <v>2864</v>
      </c>
      <c r="H13" s="3078" t="s">
        <v>2865</v>
      </c>
      <c r="I13" s="3078" t="s">
        <v>2866</v>
      </c>
    </row>
    <row r="14" spans="1:9" ht="16.5">
      <c r="A14" s="3081" t="s">
        <v>2876</v>
      </c>
      <c r="B14" s="3078">
        <f>'数据-汇总表'!E3</f>
        <v>95241.88</v>
      </c>
      <c r="C14" s="3078">
        <f>'数据-汇总表'!D3</f>
        <v>9522.6299999999992</v>
      </c>
      <c r="D14" s="3078">
        <f ca="1">结果表!C42</f>
        <v>96829</v>
      </c>
      <c r="E14" s="3078">
        <f ca="1">ROUND(D14*10000/B14,0)</f>
        <v>10167</v>
      </c>
      <c r="F14" s="3078">
        <f ca="1">ROUND(D14*10000/C14,0)</f>
        <v>101683</v>
      </c>
      <c r="G14" s="3078">
        <f ca="1">结果表!C44</f>
        <v>96829</v>
      </c>
      <c r="H14" s="3078" t="str">
        <f>结果表!C45</f>
        <v>——</v>
      </c>
      <c r="I14" s="3078" t="str">
        <f>结果表!C46</f>
        <v>——</v>
      </c>
    </row>
    <row r="15" spans="1:9" ht="16.5">
      <c r="A15" s="3081" t="s">
        <v>2867</v>
      </c>
      <c r="B15" s="3082"/>
      <c r="C15" s="3082"/>
      <c r="D15" s="3082"/>
      <c r="E15" s="3078" t="e">
        <f t="shared" ref="E15:E23" si="2">ROUND(D15*10000/B15,0)</f>
        <v>#DIV/0!</v>
      </c>
      <c r="F15" s="3078" t="e">
        <f t="shared" ref="F15:F23" si="3">ROUND(D15*10000/C15,0)</f>
        <v>#DIV/0!</v>
      </c>
      <c r="G15" s="3079"/>
      <c r="H15" s="3079"/>
      <c r="I15" s="3082"/>
    </row>
    <row r="16" spans="1:9" ht="16.5">
      <c r="A16" s="3081" t="s">
        <v>2868</v>
      </c>
      <c r="B16" s="3082"/>
      <c r="C16" s="3082"/>
      <c r="D16" s="3082"/>
      <c r="E16" s="3078" t="e">
        <f t="shared" si="2"/>
        <v>#DIV/0!</v>
      </c>
      <c r="F16" s="3078" t="e">
        <f t="shared" si="3"/>
        <v>#DIV/0!</v>
      </c>
      <c r="G16" s="3079"/>
      <c r="H16" s="3079"/>
      <c r="I16" s="3082"/>
    </row>
    <row r="17" spans="1:9" ht="16.5">
      <c r="A17" s="3081" t="s">
        <v>2869</v>
      </c>
      <c r="B17" s="3082"/>
      <c r="C17" s="3082"/>
      <c r="D17" s="3082"/>
      <c r="E17" s="3078" t="e">
        <f t="shared" si="2"/>
        <v>#DIV/0!</v>
      </c>
      <c r="F17" s="3078" t="e">
        <f t="shared" si="3"/>
        <v>#DIV/0!</v>
      </c>
      <c r="G17" s="3079"/>
      <c r="H17" s="3079"/>
      <c r="I17" s="3082"/>
    </row>
    <row r="18" spans="1:9" ht="16.5">
      <c r="A18" s="3081" t="s">
        <v>2870</v>
      </c>
      <c r="B18" s="3082"/>
      <c r="C18" s="3082"/>
      <c r="D18" s="3082"/>
      <c r="E18" s="3078" t="e">
        <f t="shared" si="2"/>
        <v>#DIV/0!</v>
      </c>
      <c r="F18" s="3078" t="e">
        <f t="shared" si="3"/>
        <v>#DIV/0!</v>
      </c>
      <c r="G18" s="3082"/>
      <c r="H18" s="3082"/>
      <c r="I18" s="3082"/>
    </row>
    <row r="19" spans="1:9" ht="16.5">
      <c r="A19" s="3081" t="s">
        <v>2871</v>
      </c>
      <c r="B19" s="3082"/>
      <c r="C19" s="3082"/>
      <c r="D19" s="3082"/>
      <c r="E19" s="3078" t="e">
        <f t="shared" si="2"/>
        <v>#DIV/0!</v>
      </c>
      <c r="F19" s="3078" t="e">
        <f t="shared" si="3"/>
        <v>#DIV/0!</v>
      </c>
      <c r="G19" s="3082"/>
      <c r="H19" s="3082"/>
      <c r="I19" s="3082"/>
    </row>
    <row r="20" spans="1:9" ht="16.5">
      <c r="A20" s="3081" t="s">
        <v>2872</v>
      </c>
      <c r="B20" s="3082"/>
      <c r="C20" s="3082"/>
      <c r="D20" s="3082"/>
      <c r="E20" s="3078" t="e">
        <f t="shared" si="2"/>
        <v>#DIV/0!</v>
      </c>
      <c r="F20" s="3078" t="e">
        <f t="shared" si="3"/>
        <v>#DIV/0!</v>
      </c>
      <c r="G20" s="3082"/>
      <c r="H20" s="3082"/>
      <c r="I20" s="3082"/>
    </row>
    <row r="21" spans="1:9" ht="16.5">
      <c r="A21" s="3081" t="s">
        <v>2873</v>
      </c>
      <c r="B21" s="3082"/>
      <c r="C21" s="3082"/>
      <c r="D21" s="3082"/>
      <c r="E21" s="3078" t="e">
        <f t="shared" si="2"/>
        <v>#DIV/0!</v>
      </c>
      <c r="F21" s="3078" t="e">
        <f t="shared" si="3"/>
        <v>#DIV/0!</v>
      </c>
      <c r="G21" s="3082"/>
      <c r="H21" s="3082"/>
      <c r="I21" s="3082"/>
    </row>
    <row r="22" spans="1:9" ht="16.5">
      <c r="A22" s="3081" t="s">
        <v>2874</v>
      </c>
      <c r="B22" s="3082"/>
      <c r="C22" s="3082"/>
      <c r="D22" s="3082"/>
      <c r="E22" s="3078" t="e">
        <f t="shared" si="2"/>
        <v>#DIV/0!</v>
      </c>
      <c r="F22" s="3078" t="e">
        <f t="shared" si="3"/>
        <v>#DIV/0!</v>
      </c>
      <c r="G22" s="3082"/>
      <c r="H22" s="3082"/>
      <c r="I22" s="3082"/>
    </row>
    <row r="23" spans="1:9" ht="16.5">
      <c r="A23" s="3081" t="s">
        <v>2875</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2056</v>
      </c>
      <c r="B1" s="1780"/>
      <c r="C1" s="1808" t="s">
        <v>2057</v>
      </c>
      <c r="D1" s="1809"/>
      <c r="E1" s="1808" t="s">
        <v>2058</v>
      </c>
      <c r="F1" s="1810"/>
      <c r="G1" s="313"/>
      <c r="H1" s="313"/>
      <c r="I1" s="313"/>
      <c r="J1" s="2032"/>
      <c r="K1" s="2032"/>
      <c r="L1" s="2032"/>
      <c r="M1" s="2032"/>
      <c r="N1" s="2032"/>
      <c r="O1" s="2032"/>
      <c r="P1" s="2032"/>
      <c r="Q1" s="2032"/>
      <c r="R1" s="2032"/>
      <c r="S1" s="2032"/>
      <c r="T1" s="2032"/>
      <c r="U1" s="2032"/>
      <c r="V1" s="2032"/>
    </row>
    <row r="2" spans="1:22" ht="21.75" customHeight="1" thickBot="1">
      <c r="A2" s="3316" t="str">
        <f>项目基本情况!K2</f>
        <v>北京市通州区运河核心区Ⅷ-14-1地块F3其他类多功能用地项目商务金融（办公、商业及地下车库）用地出让国有建设用地使用权</v>
      </c>
      <c r="B2" s="3317"/>
      <c r="C2" s="3318"/>
      <c r="D2" s="3318"/>
      <c r="E2" s="3318"/>
      <c r="F2" s="3318"/>
      <c r="G2" s="3317"/>
      <c r="H2" s="3317"/>
      <c r="I2" s="3319"/>
      <c r="J2" s="2033"/>
      <c r="K2" s="2032"/>
      <c r="L2" s="2032"/>
      <c r="M2" s="2032"/>
      <c r="N2" s="2032"/>
      <c r="O2" s="2032"/>
      <c r="P2" s="2032"/>
      <c r="Q2" s="2032"/>
      <c r="R2" s="2032"/>
      <c r="S2" s="2032"/>
      <c r="T2" s="2032"/>
      <c r="U2" s="2032"/>
      <c r="V2" s="2032"/>
    </row>
    <row r="3" spans="1:22" ht="14.25">
      <c r="A3" s="3309" t="s">
        <v>298</v>
      </c>
      <c r="B3" s="3310"/>
      <c r="C3" s="3310"/>
      <c r="D3" s="3310"/>
      <c r="E3" s="3310"/>
      <c r="F3" s="3310"/>
      <c r="G3" s="3310"/>
      <c r="H3" s="3310"/>
      <c r="I3" s="3310"/>
      <c r="J3" s="2033"/>
      <c r="K3" s="2032"/>
      <c r="L3" s="2032"/>
      <c r="M3" s="2032"/>
      <c r="N3" s="2032"/>
      <c r="O3" s="2032"/>
      <c r="P3" s="2032"/>
      <c r="Q3" s="2032"/>
      <c r="R3" s="2032"/>
      <c r="S3" s="2032"/>
      <c r="T3" s="2032"/>
      <c r="U3" s="2032"/>
      <c r="V3" s="2032"/>
    </row>
    <row r="4" spans="1:22" ht="14.25">
      <c r="A4" s="257" t="s">
        <v>299</v>
      </c>
      <c r="B4" s="258" t="s">
        <v>300</v>
      </c>
      <c r="C4" s="259" t="s">
        <v>3140</v>
      </c>
      <c r="D4" s="259" t="s">
        <v>3141</v>
      </c>
      <c r="E4" s="3281" t="s">
        <v>301</v>
      </c>
      <c r="F4" s="3282"/>
      <c r="G4" s="3282"/>
      <c r="H4" s="3282"/>
      <c r="I4" s="3311"/>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280" t="s">
        <v>302</v>
      </c>
      <c r="B5" s="3306">
        <v>25</v>
      </c>
      <c r="C5" s="3304"/>
      <c r="D5" s="3308"/>
      <c r="E5" s="260" t="s">
        <v>303</v>
      </c>
      <c r="F5" s="261"/>
      <c r="G5" s="261"/>
      <c r="H5" s="261"/>
      <c r="I5" s="262"/>
      <c r="J5" s="2033"/>
      <c r="K5" s="2032"/>
      <c r="L5" s="2032"/>
      <c r="M5" s="2032"/>
      <c r="N5" s="2032"/>
      <c r="O5" s="2032"/>
      <c r="P5" s="2032"/>
      <c r="Q5" s="2032"/>
      <c r="R5" s="2032"/>
      <c r="S5" s="2032"/>
      <c r="T5" s="2032"/>
      <c r="U5" s="2032"/>
      <c r="V5" s="2032"/>
    </row>
    <row r="6" spans="1:22" ht="14.25">
      <c r="A6" s="3280"/>
      <c r="B6" s="3306"/>
      <c r="C6" s="3307"/>
      <c r="D6" s="3308"/>
      <c r="E6" s="260" t="s">
        <v>304</v>
      </c>
      <c r="F6" s="261"/>
      <c r="G6" s="261"/>
      <c r="H6" s="261"/>
      <c r="I6" s="262"/>
      <c r="J6" s="2033"/>
      <c r="K6" s="2032"/>
      <c r="L6" s="2032"/>
      <c r="M6" s="2032"/>
      <c r="N6" s="2032"/>
      <c r="O6" s="2032"/>
      <c r="P6" s="2032"/>
      <c r="Q6" s="2032"/>
      <c r="R6" s="2032"/>
      <c r="S6" s="2032"/>
      <c r="T6" s="2032"/>
      <c r="U6" s="2032"/>
      <c r="V6" s="2032"/>
    </row>
    <row r="7" spans="1:22" ht="14.25">
      <c r="A7" s="3280"/>
      <c r="B7" s="3306"/>
      <c r="C7" s="3305"/>
      <c r="D7" s="3308"/>
      <c r="E7" s="260" t="s">
        <v>305</v>
      </c>
      <c r="F7" s="261"/>
      <c r="G7" s="261"/>
      <c r="H7" s="261"/>
      <c r="I7" s="262"/>
      <c r="J7" s="2033"/>
      <c r="K7" s="2032"/>
      <c r="L7" s="2032"/>
      <c r="M7" s="2032"/>
      <c r="N7" s="2032"/>
      <c r="O7" s="2032"/>
      <c r="P7" s="2032"/>
      <c r="Q7" s="2032"/>
      <c r="R7" s="2032"/>
      <c r="S7" s="2032"/>
      <c r="T7" s="2032"/>
      <c r="U7" s="2032"/>
      <c r="V7" s="2032"/>
    </row>
    <row r="8" spans="1:22" ht="14.25">
      <c r="A8" s="3280" t="s">
        <v>306</v>
      </c>
      <c r="B8" s="3306">
        <v>15</v>
      </c>
      <c r="C8" s="3304"/>
      <c r="D8" s="3308"/>
      <c r="E8" s="260" t="s">
        <v>307</v>
      </c>
      <c r="F8" s="261"/>
      <c r="G8" s="261"/>
      <c r="H8" s="261"/>
      <c r="I8" s="262"/>
      <c r="J8" s="2033"/>
      <c r="K8" s="2032"/>
      <c r="L8" s="2032"/>
      <c r="M8" s="2032"/>
      <c r="N8" s="2032"/>
      <c r="O8" s="2032"/>
      <c r="P8" s="2032"/>
      <c r="Q8" s="2032"/>
      <c r="R8" s="2032"/>
      <c r="S8" s="2032"/>
      <c r="T8" s="2032"/>
      <c r="U8" s="2032"/>
      <c r="V8" s="2032"/>
    </row>
    <row r="9" spans="1:22" ht="14.25">
      <c r="A9" s="3280"/>
      <c r="B9" s="3306"/>
      <c r="C9" s="3305"/>
      <c r="D9" s="3308"/>
      <c r="E9" s="260" t="s">
        <v>308</v>
      </c>
      <c r="F9" s="261"/>
      <c r="G9" s="261"/>
      <c r="H9" s="261"/>
      <c r="I9" s="262"/>
      <c r="J9" s="2033"/>
      <c r="K9" s="2032"/>
      <c r="L9" s="2032"/>
      <c r="M9" s="2032"/>
      <c r="N9" s="2032"/>
      <c r="O9" s="2032"/>
      <c r="P9" s="2032"/>
      <c r="Q9" s="2032"/>
      <c r="R9" s="2032"/>
      <c r="S9" s="2032"/>
      <c r="T9" s="2032"/>
      <c r="U9" s="2032"/>
      <c r="V9" s="2032"/>
    </row>
    <row r="10" spans="1:22" ht="14.25">
      <c r="A10" s="3280" t="s">
        <v>309</v>
      </c>
      <c r="B10" s="3306">
        <v>15</v>
      </c>
      <c r="C10" s="3304"/>
      <c r="D10" s="3308"/>
      <c r="E10" s="260" t="s">
        <v>310</v>
      </c>
      <c r="F10" s="261"/>
      <c r="G10" s="261"/>
      <c r="H10" s="261"/>
      <c r="I10" s="262"/>
      <c r="J10" s="2033"/>
      <c r="K10" s="2032"/>
      <c r="L10" s="2032"/>
      <c r="M10" s="2032"/>
      <c r="N10" s="2032"/>
      <c r="O10" s="2032"/>
      <c r="P10" s="2032"/>
      <c r="Q10" s="2032"/>
      <c r="R10" s="2032"/>
      <c r="S10" s="2032"/>
      <c r="T10" s="2032"/>
      <c r="U10" s="2032"/>
      <c r="V10" s="2032"/>
    </row>
    <row r="11" spans="1:22" ht="14.25">
      <c r="A11" s="3280"/>
      <c r="B11" s="3306"/>
      <c r="C11" s="3305"/>
      <c r="D11" s="3308"/>
      <c r="E11" s="260" t="s">
        <v>311</v>
      </c>
      <c r="F11" s="261"/>
      <c r="G11" s="261"/>
      <c r="H11" s="261"/>
      <c r="I11" s="262"/>
      <c r="J11" s="2033"/>
      <c r="K11" s="2032"/>
      <c r="L11" s="2032"/>
      <c r="M11" s="2032"/>
      <c r="N11" s="2032"/>
      <c r="O11" s="2032"/>
      <c r="P11" s="2032"/>
      <c r="Q11" s="2032"/>
      <c r="R11" s="2032"/>
      <c r="S11" s="2032"/>
      <c r="T11" s="2032"/>
      <c r="U11" s="2032"/>
      <c r="V11" s="2032"/>
    </row>
    <row r="12" spans="1:22" ht="14.25">
      <c r="A12" s="3280" t="s">
        <v>312</v>
      </c>
      <c r="B12" s="3306">
        <v>15</v>
      </c>
      <c r="C12" s="3304"/>
      <c r="D12" s="3308"/>
      <c r="E12" s="260" t="s">
        <v>313</v>
      </c>
      <c r="F12" s="261"/>
      <c r="G12" s="261"/>
      <c r="H12" s="261"/>
      <c r="I12" s="262"/>
      <c r="J12" s="2033"/>
      <c r="K12" s="2032"/>
      <c r="L12" s="2032"/>
      <c r="M12" s="2032"/>
      <c r="N12" s="2032"/>
      <c r="O12" s="2032"/>
      <c r="P12" s="2032"/>
      <c r="Q12" s="2032"/>
      <c r="R12" s="2032"/>
      <c r="S12" s="2032"/>
      <c r="T12" s="2032"/>
      <c r="U12" s="2032"/>
      <c r="V12" s="2032"/>
    </row>
    <row r="13" spans="1:22" ht="14.25">
      <c r="A13" s="3280"/>
      <c r="B13" s="3306"/>
      <c r="C13" s="3305"/>
      <c r="D13" s="3308"/>
      <c r="E13" s="260" t="s">
        <v>314</v>
      </c>
      <c r="F13" s="261"/>
      <c r="G13" s="261"/>
      <c r="H13" s="261"/>
      <c r="I13" s="262"/>
      <c r="J13" s="2033"/>
      <c r="K13" s="2032"/>
      <c r="L13" s="2032"/>
      <c r="M13" s="2032"/>
      <c r="N13" s="2032"/>
      <c r="O13" s="2032"/>
      <c r="P13" s="2032"/>
      <c r="Q13" s="2032"/>
      <c r="R13" s="2032"/>
      <c r="S13" s="2032"/>
      <c r="T13" s="2032"/>
      <c r="U13" s="2032"/>
      <c r="V13" s="2032"/>
    </row>
    <row r="14" spans="1:22" ht="14.25">
      <c r="A14" s="3280" t="s">
        <v>315</v>
      </c>
      <c r="B14" s="3306">
        <v>30</v>
      </c>
      <c r="C14" s="3304">
        <v>5</v>
      </c>
      <c r="D14" s="3308">
        <v>5</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280"/>
      <c r="B15" s="3306"/>
      <c r="C15" s="3307"/>
      <c r="D15" s="3308"/>
      <c r="E15" s="260" t="s">
        <v>317</v>
      </c>
      <c r="F15" s="261"/>
      <c r="G15" s="261"/>
      <c r="H15" s="261"/>
      <c r="I15" s="262"/>
      <c r="J15" s="2033"/>
      <c r="K15" s="2032"/>
      <c r="L15" s="2032"/>
      <c r="M15" s="2032"/>
      <c r="N15" s="2032"/>
      <c r="O15" s="2032"/>
      <c r="P15" s="2032"/>
      <c r="Q15" s="2032"/>
      <c r="R15" s="2032"/>
      <c r="S15" s="2032"/>
      <c r="T15" s="2032"/>
      <c r="U15" s="2032"/>
      <c r="V15" s="2032"/>
    </row>
    <row r="16" spans="1:22" ht="14.25">
      <c r="A16" s="3280"/>
      <c r="B16" s="3306"/>
      <c r="C16" s="3305"/>
      <c r="D16" s="3308"/>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5</v>
      </c>
      <c r="D17" s="264">
        <f>SUM(D5:D16)</f>
        <v>5</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0.5</v>
      </c>
      <c r="D18" s="266">
        <f>1-C18</f>
        <v>0.5</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94428</v>
      </c>
      <c r="D19" s="270">
        <f ca="1">SUMIF(INDIRECT("'"&amp;D4&amp;"'"&amp;"!A:A"),结果表!B19,INDIRECT("'"&amp;D4&amp;"'"&amp;"!B:B"))</f>
        <v>99229</v>
      </c>
      <c r="E19" s="267" t="s">
        <v>323</v>
      </c>
      <c r="F19" s="268" t="s">
        <v>322</v>
      </c>
      <c r="G19" s="271">
        <f ca="1">ROUND(C19*$C$18+D19*$D$18,0)</f>
        <v>96829</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9915</v>
      </c>
      <c r="D20" s="276">
        <f ca="1">SUMIF(INDIRECT("'"&amp;D4&amp;"'"&amp;"!A:A"),结果表!B20,INDIRECT("'"&amp;D4&amp;"'"&amp;"!B:B"))</f>
        <v>10419</v>
      </c>
      <c r="E20" s="273"/>
      <c r="F20" s="274" t="s">
        <v>325</v>
      </c>
      <c r="G20" s="277">
        <f ca="1">ROUND(C20*$C$18+D20*$D$18,0)</f>
        <v>10167</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99162</v>
      </c>
      <c r="D21" s="151">
        <f ca="1">SUMIF(INDIRECT("'"&amp;D4&amp;"'"&amp;"!A:A"),结果表!B21,INDIRECT("'"&amp;D4&amp;"'"&amp;"!B:B"))</f>
        <v>104203</v>
      </c>
      <c r="E21" s="273"/>
      <c r="F21" s="279" t="s">
        <v>327</v>
      </c>
      <c r="G21" s="281">
        <f ca="1">ROUND(C21*$C$18+D21*$D$18,0)</f>
        <v>101683</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5.0842970305417845E-2</v>
      </c>
      <c r="E22" s="283"/>
      <c r="F22" s="284"/>
      <c r="G22" s="285">
        <f ca="1">ROUND(G19/('数据-汇总表'!D3/666.67),0)</f>
        <v>6779</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286"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287"/>
      <c r="B25" s="1323" t="s">
        <v>331</v>
      </c>
      <c r="C25" s="289">
        <f>IF(B30=0,0,C30)</f>
        <v>0</v>
      </c>
      <c r="D25" s="290"/>
      <c r="E25" s="313"/>
      <c r="F25" s="313"/>
      <c r="G25" s="313"/>
      <c r="H25" s="313"/>
      <c r="I25" s="313"/>
      <c r="J25" s="2032"/>
      <c r="K25" s="1257" t="str">
        <f ca="1">项目基本情况!B16&amp;"国有建设用地使用权价格："&amp;O38&amp;"万元"</f>
        <v>出让国有建设用地使用权价格：96829万元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大写金额：人民币玖亿陆仟捌佰贰拾玖万元整</v>
      </c>
      <c r="L26" s="1254"/>
      <c r="M26" s="1254"/>
      <c r="N26" s="1254"/>
      <c r="O26" s="1253"/>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60" t="str">
        <f ca="1">"单位面积地价："&amp;M38&amp;"元/平方米"</f>
        <v>单位面积地价：101683元/平方米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楼面地价：10167元/平方米</v>
      </c>
      <c r="L28" s="1254"/>
      <c r="M28" s="1254"/>
      <c r="N28" s="1254"/>
      <c r="O28" s="1253"/>
      <c r="P28" s="2032"/>
      <c r="V28" s="2032"/>
    </row>
    <row r="29" spans="1:26" ht="18">
      <c r="A29" s="292"/>
      <c r="B29" s="293"/>
      <c r="C29" s="293"/>
      <c r="D29" s="294"/>
      <c r="E29" s="313"/>
      <c r="F29" s="313"/>
      <c r="G29" s="313"/>
      <c r="H29" s="313"/>
      <c r="I29" s="313"/>
      <c r="J29" s="2032"/>
      <c r="K29" s="1260" t="str">
        <f ca="1">IF(OR(项目基本情况!E8="抵押价格",项目基本情况!E8="已注销及未注销"),"抵押价格："&amp;O39&amp;"万元","——")</f>
        <v>抵押价格：96829万元</v>
      </c>
      <c r="L29" s="1254"/>
      <c r="M29" s="1254"/>
      <c r="N29" s="1254"/>
      <c r="O29" s="1253"/>
      <c r="P29" s="2032"/>
      <c r="V29" s="2032"/>
    </row>
    <row r="30" spans="1:26" ht="18.75" thickBot="1">
      <c r="A30" s="295" t="s">
        <v>336</v>
      </c>
      <c r="B30" s="296">
        <f>SUM(B27:B29)</f>
        <v>0</v>
      </c>
      <c r="C30" s="296" t="e">
        <f>ROUND(D30*10000/B30,0)</f>
        <v>#DIV/0!</v>
      </c>
      <c r="D30" s="297">
        <f>SUM(D27:D29)</f>
        <v>0</v>
      </c>
      <c r="E30" s="313"/>
      <c r="F30" s="313"/>
      <c r="G30" s="313"/>
      <c r="H30" s="313"/>
      <c r="I30" s="313"/>
      <c r="J30" s="2032"/>
      <c r="K30" s="1260" t="str">
        <f ca="1">IF(K29="——","——","大写金额：人民币"&amp;NUMBERSTRING(INT(O39*10000),2)&amp;"元整")</f>
        <v>大写金额：人民币玖亿陆仟捌佰贰拾玖万元整</v>
      </c>
      <c r="L30" s="1254"/>
      <c r="M30" s="1254"/>
      <c r="N30" s="1254"/>
      <c r="O30" s="1253"/>
      <c r="P30" s="2032"/>
      <c r="V30" s="2032"/>
    </row>
    <row r="31" spans="1:26" ht="24" customHeight="1" thickBot="1">
      <c r="A31" s="313"/>
      <c r="B31" s="313"/>
      <c r="C31" s="313"/>
      <c r="D31" s="313"/>
      <c r="E31" s="313"/>
      <c r="F31" s="313"/>
      <c r="G31" s="313"/>
      <c r="H31" s="313"/>
      <c r="I31" s="313"/>
      <c r="J31" s="2032"/>
      <c r="K31" s="2496" t="str">
        <f>IF(项目基本情况!E8="抵押价格","——","抵押担保权已注销时的抵押价格："&amp;O40&amp;"万元")</f>
        <v>——</v>
      </c>
      <c r="L31" s="2492"/>
      <c r="M31" s="2492"/>
      <c r="N31" s="2492"/>
      <c r="O31" s="2493"/>
      <c r="P31" s="2032"/>
      <c r="V31" s="2032"/>
    </row>
    <row r="32" spans="1:26" ht="18.75" thickBot="1">
      <c r="A32" s="267" t="s">
        <v>337</v>
      </c>
      <c r="B32" s="1384" t="s">
        <v>1687</v>
      </c>
      <c r="C32" s="1385">
        <f ca="1">G19-C24</f>
        <v>96829</v>
      </c>
      <c r="D32" s="1386" t="s">
        <v>1688</v>
      </c>
      <c r="E32" s="313"/>
      <c r="F32" s="313"/>
      <c r="G32" s="313"/>
      <c r="H32" s="313"/>
      <c r="I32" s="313"/>
      <c r="J32" s="2032"/>
      <c r="K32" s="2491" t="str">
        <f>IF(K31="——","——","大写金额：人民币"&amp;NUMBERSTRING(INT(O40*10000),2)&amp;"元整")</f>
        <v>——</v>
      </c>
      <c r="L32" s="2494"/>
      <c r="M32" s="2494"/>
      <c r="N32" s="2494"/>
      <c r="O32" s="2495"/>
      <c r="P32" s="2032"/>
      <c r="V32" s="2032"/>
    </row>
    <row r="33" spans="1:26" ht="18.75" thickBot="1">
      <c r="A33" s="300" t="s">
        <v>340</v>
      </c>
      <c r="B33" s="1387" t="s">
        <v>1689</v>
      </c>
      <c r="C33" s="263">
        <f ca="1">ROUND(C32*10000/'数据-汇总表'!E3,0)</f>
        <v>10167</v>
      </c>
      <c r="D33" s="1388" t="s">
        <v>1690</v>
      </c>
      <c r="E33" s="3286" t="s">
        <v>338</v>
      </c>
      <c r="F33" s="298" t="s">
        <v>339</v>
      </c>
      <c r="G33" s="299"/>
      <c r="H33" s="982"/>
      <c r="I33" s="1261"/>
      <c r="J33" s="2032"/>
      <c r="K33" s="1260" t="str">
        <f>IF(项目基本情况!E9="——","——","抵押净值："&amp;C46&amp;"万元")</f>
        <v>——</v>
      </c>
      <c r="L33" s="1254"/>
      <c r="M33" s="1254"/>
      <c r="N33" s="1254"/>
      <c r="O33" s="1253"/>
      <c r="P33" s="2032"/>
      <c r="V33" s="2032"/>
    </row>
    <row r="34" spans="1:26" s="1256" customFormat="1" ht="18.75" thickBot="1">
      <c r="A34" s="302"/>
      <c r="B34" s="1389" t="s">
        <v>1691</v>
      </c>
      <c r="C34" s="263">
        <f ca="1">ROUND(C32*10000/'数据-汇总表'!D3,0)</f>
        <v>101683</v>
      </c>
      <c r="D34" s="1390" t="s">
        <v>1690</v>
      </c>
      <c r="E34" s="3327"/>
      <c r="F34" s="127" t="s">
        <v>341</v>
      </c>
      <c r="G34" s="301"/>
      <c r="H34" s="105"/>
      <c r="I34" s="313"/>
      <c r="J34" s="2032"/>
      <c r="K34" s="1263" t="str">
        <f>IF(K33="——","——","大写金额：人民币"&amp;NUMBERSTRING(INT(O41*10000),2)&amp;"元整")</f>
        <v>——</v>
      </c>
      <c r="L34" s="1264"/>
      <c r="M34" s="1264"/>
      <c r="N34" s="1264"/>
      <c r="O34" s="1265"/>
      <c r="P34" s="2032"/>
      <c r="Q34" s="291"/>
      <c r="R34" s="291"/>
      <c r="S34" s="291"/>
      <c r="T34" s="291"/>
      <c r="U34" s="291"/>
      <c r="V34" s="2032"/>
      <c r="W34" s="291"/>
      <c r="X34" s="291"/>
      <c r="Y34" s="291"/>
      <c r="Z34" s="291"/>
    </row>
    <row r="35" spans="1:26" ht="15.75" thickBot="1">
      <c r="A35" s="283"/>
      <c r="B35" s="1391"/>
      <c r="C35" s="1392">
        <f ca="1">ROUND(C32/('数据-汇总表'!D3/666.67),0)</f>
        <v>6779</v>
      </c>
      <c r="D35" s="1393" t="s">
        <v>1692</v>
      </c>
      <c r="E35" s="3328"/>
      <c r="F35" s="303" t="s">
        <v>342</v>
      </c>
      <c r="G35" s="984"/>
      <c r="H35" s="983" t="s">
        <v>343</v>
      </c>
      <c r="I35" s="313"/>
      <c r="J35" s="2032"/>
      <c r="K35" s="3301" t="s">
        <v>350</v>
      </c>
      <c r="L35" s="3301" t="s">
        <v>351</v>
      </c>
      <c r="M35" s="1266" t="s">
        <v>352</v>
      </c>
      <c r="N35" s="3301" t="s">
        <v>353</v>
      </c>
      <c r="O35" s="3301" t="s">
        <v>354</v>
      </c>
      <c r="P35" s="2032"/>
      <c r="V35" s="2032"/>
    </row>
    <row r="36" spans="1:26" ht="16.5" customHeight="1">
      <c r="A36" s="305" t="s">
        <v>344</v>
      </c>
      <c r="B36" s="306" t="s">
        <v>333</v>
      </c>
      <c r="C36" s="307" t="s">
        <v>345</v>
      </c>
      <c r="D36" s="307" t="s">
        <v>346</v>
      </c>
      <c r="E36" s="308" t="s">
        <v>347</v>
      </c>
      <c r="F36" s="313"/>
      <c r="G36" s="313"/>
      <c r="H36" s="313"/>
      <c r="I36" s="313"/>
      <c r="J36" s="2034"/>
      <c r="K36" s="3302"/>
      <c r="L36" s="3302"/>
      <c r="M36" s="1268" t="s">
        <v>355</v>
      </c>
      <c r="N36" s="3302"/>
      <c r="O36" s="3302"/>
      <c r="P36" s="2032"/>
      <c r="V36" s="2032"/>
    </row>
    <row r="37" spans="1:26" ht="16.5" customHeight="1" thickBot="1">
      <c r="A37" s="1262" t="s">
        <v>348</v>
      </c>
      <c r="B37" s="309"/>
      <c r="C37" s="293"/>
      <c r="D37" s="293"/>
      <c r="E37" s="294"/>
      <c r="F37" s="313"/>
      <c r="G37" s="313"/>
      <c r="H37" s="313"/>
      <c r="I37" s="313"/>
      <c r="J37" s="2034"/>
      <c r="K37" s="3303"/>
      <c r="L37" s="3303"/>
      <c r="M37" s="1269"/>
      <c r="N37" s="3303"/>
      <c r="O37" s="3303"/>
      <c r="P37" s="2032"/>
      <c r="V37" s="2032"/>
    </row>
    <row r="38" spans="1:26" ht="16.5" customHeight="1" thickBot="1">
      <c r="A38" s="1262" t="s">
        <v>349</v>
      </c>
      <c r="B38" s="309"/>
      <c r="C38" s="293"/>
      <c r="D38" s="293"/>
      <c r="E38" s="294"/>
      <c r="F38" s="313"/>
      <c r="G38" s="313"/>
      <c r="H38" s="313"/>
      <c r="I38" s="313"/>
      <c r="J38" s="2034"/>
      <c r="K38" s="1270">
        <f>'数据-汇总表'!D3</f>
        <v>9522.6299999999992</v>
      </c>
      <c r="L38" s="1271">
        <f>'数据-汇总表'!E3</f>
        <v>95241.88</v>
      </c>
      <c r="M38" s="1271">
        <f ca="1">C34</f>
        <v>101683</v>
      </c>
      <c r="N38" s="1271">
        <f ca="1">C33</f>
        <v>10167</v>
      </c>
      <c r="O38" s="1272">
        <f ca="1">C32</f>
        <v>96829</v>
      </c>
      <c r="P38" s="2032"/>
      <c r="V38" s="2032"/>
    </row>
    <row r="39" spans="1:26" ht="16.5" customHeight="1" thickBot="1">
      <c r="A39" s="1267"/>
      <c r="B39" s="310"/>
      <c r="C39" s="311"/>
      <c r="D39" s="311"/>
      <c r="E39" s="312"/>
      <c r="F39" s="313"/>
      <c r="G39" s="313"/>
      <c r="H39" s="313"/>
      <c r="I39" s="313"/>
      <c r="J39" s="2034"/>
      <c r="K39" s="3346" t="str">
        <f>MID(A44,3,LEN(A44)-2)</f>
        <v>抵押价格</v>
      </c>
      <c r="L39" s="3347"/>
      <c r="M39" s="3347"/>
      <c r="N39" s="3348"/>
      <c r="O39" s="1395">
        <f ca="1">C44</f>
        <v>96829</v>
      </c>
      <c r="P39" s="2032"/>
      <c r="V39" s="2032"/>
    </row>
    <row r="40" spans="1:26" ht="19.5" thickBot="1">
      <c r="A40" s="104" t="s">
        <v>874</v>
      </c>
      <c r="B40" s="313"/>
      <c r="C40" s="313"/>
      <c r="D40" s="313"/>
      <c r="E40" s="313"/>
      <c r="F40" s="313"/>
      <c r="G40" s="313"/>
      <c r="H40" s="313"/>
      <c r="I40" s="313"/>
      <c r="J40" s="2034"/>
      <c r="K40" s="3346" t="str">
        <f t="shared" ref="K40:K41" si="0">MID(A45,3,LEN(A45)-2)</f>
        <v/>
      </c>
      <c r="L40" s="3347"/>
      <c r="M40" s="3347"/>
      <c r="N40" s="3348"/>
      <c r="O40" s="1395" t="str">
        <f>C45</f>
        <v>——</v>
      </c>
      <c r="P40" s="2032"/>
      <c r="V40" s="2032"/>
    </row>
    <row r="41" spans="1:26" ht="16.5" thickBot="1">
      <c r="A41" s="314" t="s">
        <v>356</v>
      </c>
      <c r="B41" s="315"/>
      <c r="C41" s="316" t="s">
        <v>357</v>
      </c>
      <c r="D41" s="317" t="s">
        <v>358</v>
      </c>
      <c r="E41" s="317" t="s">
        <v>359</v>
      </c>
      <c r="F41" s="318" t="s">
        <v>360</v>
      </c>
      <c r="G41" s="313"/>
      <c r="H41" s="313"/>
      <c r="I41" s="313"/>
      <c r="J41" s="2034"/>
      <c r="K41" s="3346" t="str">
        <f t="shared" si="0"/>
        <v/>
      </c>
      <c r="L41" s="3347"/>
      <c r="M41" s="3347"/>
      <c r="N41" s="3348"/>
      <c r="O41" s="1395" t="str">
        <f>C46</f>
        <v>——</v>
      </c>
      <c r="P41" s="2032"/>
      <c r="V41" s="2032"/>
    </row>
    <row r="42" spans="1:26" ht="29.25">
      <c r="A42" s="3288" t="s">
        <v>2068</v>
      </c>
      <c r="B42" s="3289"/>
      <c r="C42" s="263">
        <f ca="1">C32</f>
        <v>96829</v>
      </c>
      <c r="D42" s="319">
        <f ca="1">C33</f>
        <v>10167</v>
      </c>
      <c r="E42" s="319">
        <f ca="1">C34</f>
        <v>101683</v>
      </c>
      <c r="F42" s="320">
        <f ca="1">C35</f>
        <v>6779</v>
      </c>
      <c r="G42" s="313"/>
      <c r="H42" s="313"/>
      <c r="I42" s="321"/>
      <c r="J42" s="2034"/>
      <c r="K42" s="1273" t="s">
        <v>361</v>
      </c>
      <c r="L42" s="2051" t="s">
        <v>362</v>
      </c>
      <c r="M42" s="1274" t="s">
        <v>363</v>
      </c>
      <c r="N42" s="2052" t="s">
        <v>364</v>
      </c>
      <c r="O42" s="2053" t="s">
        <v>365</v>
      </c>
      <c r="P42" s="2032"/>
      <c r="V42" s="2032"/>
    </row>
    <row r="43" spans="1:26" ht="30">
      <c r="A43" s="3299" t="s">
        <v>2736</v>
      </c>
      <c r="B43" s="3300"/>
      <c r="C43" s="263">
        <f>IF(H33="正常操作",G33+G34+G35,G34+G35)</f>
        <v>0</v>
      </c>
      <c r="D43" s="319" t="s">
        <v>43</v>
      </c>
      <c r="E43" s="319" t="s">
        <v>44</v>
      </c>
      <c r="F43" s="320" t="s">
        <v>44</v>
      </c>
      <c r="G43" s="2896" t="s">
        <v>953</v>
      </c>
      <c r="H43" s="313"/>
      <c r="I43" s="321"/>
      <c r="J43" s="2034"/>
      <c r="K43" s="1275" t="str">
        <f>C4</f>
        <v>比较法-住宅、综合</v>
      </c>
      <c r="L43" s="1276">
        <f ca="1">IF(L42="估价结果/万元",C19,C20)</f>
        <v>94428</v>
      </c>
      <c r="M43" s="1277">
        <f>C18</f>
        <v>0.5</v>
      </c>
      <c r="N43" s="1278">
        <f ca="1">IF(N42="测算结果/万元",G19,G20)</f>
        <v>96829</v>
      </c>
      <c r="O43" s="1279">
        <f ca="1">IF(O42="最终结果/万元",C32,C33)</f>
        <v>96829</v>
      </c>
      <c r="P43" s="2032"/>
      <c r="V43" s="2032"/>
    </row>
    <row r="44" spans="1:26" ht="30.75" thickBot="1">
      <c r="A44" s="3288" t="str">
        <f>IF(OR(项目基本情况!E8="抵押价格",项目基本情况!E8="已注销及未注销"),"3.抵押价格","——")</f>
        <v>3.抵押价格</v>
      </c>
      <c r="B44" s="3289"/>
      <c r="C44" s="263">
        <f ca="1">IF(A44="——","——",C42-C43)</f>
        <v>96829</v>
      </c>
      <c r="D44" s="319">
        <f ca="1">ROUND(C44*10000/'数据-汇总表'!E3,0)</f>
        <v>10167</v>
      </c>
      <c r="E44" s="319">
        <f ca="1">ROUND(C44*10000/'数据-汇总表'!D3,0)</f>
        <v>101683</v>
      </c>
      <c r="F44" s="320">
        <f ca="1">ROUND(C44/('数据-汇总表'!D3/666.67),0)</f>
        <v>6779</v>
      </c>
      <c r="G44" s="313"/>
      <c r="H44" s="313"/>
      <c r="I44" s="321"/>
      <c r="J44" s="2034"/>
      <c r="K44" s="1280" t="str">
        <f>D4</f>
        <v>剩余法-待开发</v>
      </c>
      <c r="L44" s="1281">
        <f ca="1">IF(L42="估价结果/万元",D19,D20)</f>
        <v>99229</v>
      </c>
      <c r="M44" s="1282">
        <f>D18</f>
        <v>0.5</v>
      </c>
      <c r="N44" s="1283"/>
      <c r="O44" s="1284"/>
      <c r="P44" s="2032"/>
      <c r="V44" s="2032"/>
    </row>
    <row r="45" spans="1:26" ht="15">
      <c r="A45" s="3294" t="str">
        <f>IF(项目基本情况!E8="已注销及未注销","4.抵押担保权已注销时的抵押价格",IF(项目基本情况!E8="已注销","3.抵押担保权已注销时的抵押价格","——"))</f>
        <v>——</v>
      </c>
      <c r="B45" s="3295"/>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290" t="str">
        <f>IF(项目基本情况!E9="抵押净值",IF(A45="——","4.抵押净值","5.抵押净值"),"——")</f>
        <v>——</v>
      </c>
      <c r="B46" s="3291"/>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35" t="s">
        <v>374</v>
      </c>
      <c r="B63" s="3336"/>
      <c r="C63" s="3337"/>
      <c r="D63" s="343">
        <f ca="1">ROUND(C42*F63,0)</f>
        <v>58097</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296" t="s">
        <v>378</v>
      </c>
      <c r="B64" s="3297"/>
      <c r="C64" s="3297"/>
      <c r="D64" s="3297"/>
      <c r="E64" s="3297"/>
      <c r="F64" s="3297"/>
      <c r="G64" s="3298"/>
      <c r="H64" s="1290"/>
      <c r="I64" s="950"/>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292" t="s">
        <v>386</v>
      </c>
      <c r="B66" s="3293"/>
      <c r="C66" s="3293"/>
      <c r="D66" s="260">
        <f ca="1">IF(H66="情况1",0,IF(H66="情况2",D70,IF(H66="情况3",D71,IF(H66="情况4",D72))))</f>
        <v>3043</v>
      </c>
      <c r="E66" s="995" t="str">
        <f>IF(H66="情况4","(销售额-原购置价)×税（费）率","销售额×税（费）率")</f>
        <v>销售额×税（费）率</v>
      </c>
      <c r="F66" s="352">
        <f>IF(H66="情况1","免征",'数据-取费表'!B41)</f>
        <v>5.5000000000000007E-2</v>
      </c>
      <c r="G66" s="353" t="s">
        <v>387</v>
      </c>
      <c r="H66" s="191" t="s">
        <v>388</v>
      </c>
      <c r="I66" s="1290"/>
      <c r="J66" s="2038"/>
      <c r="K66" s="1293">
        <v>1</v>
      </c>
      <c r="L66" s="3350" t="s">
        <v>385</v>
      </c>
      <c r="M66" s="3351"/>
      <c r="N66" s="2486"/>
      <c r="O66" s="2487"/>
      <c r="P66" s="2488"/>
      <c r="Q66" s="2032"/>
      <c r="R66" s="2032"/>
      <c r="S66" s="2032"/>
      <c r="T66" s="2032"/>
      <c r="U66" s="2032"/>
      <c r="V66" s="2032"/>
    </row>
    <row r="67" spans="1:22" ht="25.5" customHeight="1">
      <c r="A67" s="354" t="s">
        <v>390</v>
      </c>
      <c r="B67" s="3283" t="s">
        <v>391</v>
      </c>
      <c r="C67" s="3283"/>
      <c r="D67" s="355">
        <v>0</v>
      </c>
      <c r="E67" s="41" t="s">
        <v>392</v>
      </c>
      <c r="F67" s="62" t="s">
        <v>21</v>
      </c>
      <c r="G67" s="3338"/>
      <c r="H67" s="313"/>
      <c r="I67" s="1294"/>
      <c r="J67" s="2039"/>
      <c r="K67" s="1980">
        <v>2</v>
      </c>
      <c r="L67" s="3349" t="s">
        <v>389</v>
      </c>
      <c r="M67" s="3349"/>
      <c r="N67" s="1327">
        <f>'数据-取费表'!B2</f>
        <v>43032</v>
      </c>
      <c r="O67" s="1327"/>
      <c r="P67" s="1327"/>
      <c r="Q67" s="2032"/>
      <c r="R67" s="2032"/>
      <c r="S67" s="2032"/>
      <c r="T67" s="2032"/>
      <c r="U67" s="2032"/>
      <c r="V67" s="2032"/>
    </row>
    <row r="68" spans="1:22" ht="25.5" customHeight="1">
      <c r="A68" s="356"/>
      <c r="B68" s="3283" t="s">
        <v>394</v>
      </c>
      <c r="C68" s="3283"/>
      <c r="D68" s="357"/>
      <c r="E68" s="77"/>
      <c r="F68" s="358"/>
      <c r="G68" s="3339"/>
      <c r="H68" s="313"/>
      <c r="I68" s="1294"/>
      <c r="J68" s="2039"/>
      <c r="K68" s="1980">
        <v>3</v>
      </c>
      <c r="L68" s="3349" t="s">
        <v>393</v>
      </c>
      <c r="M68" s="3349"/>
      <c r="N68" s="1295">
        <f ca="1">C42</f>
        <v>96829</v>
      </c>
      <c r="O68" s="1295"/>
      <c r="P68" s="1295"/>
      <c r="Q68" s="2032"/>
      <c r="R68" s="2032"/>
      <c r="S68" s="2032"/>
      <c r="T68" s="2032"/>
      <c r="U68" s="2032"/>
      <c r="V68" s="2032"/>
    </row>
    <row r="69" spans="1:22" ht="12" customHeight="1">
      <c r="A69" s="359"/>
      <c r="B69" s="3283" t="s">
        <v>395</v>
      </c>
      <c r="C69" s="3283"/>
      <c r="D69" s="360"/>
      <c r="E69" s="73"/>
      <c r="F69" s="358"/>
      <c r="G69" s="3340"/>
      <c r="H69" s="313"/>
      <c r="I69" s="1294"/>
      <c r="J69" s="2039"/>
      <c r="K69" s="1296">
        <v>4</v>
      </c>
      <c r="L69" s="3354" t="s">
        <v>2889</v>
      </c>
      <c r="M69" s="3355"/>
      <c r="N69" s="1297">
        <f ca="1">C44</f>
        <v>96829</v>
      </c>
      <c r="O69" s="1297"/>
      <c r="P69" s="1297"/>
      <c r="Q69" s="2032"/>
      <c r="R69" s="2032"/>
      <c r="S69" s="2032"/>
      <c r="T69" s="2032"/>
      <c r="U69" s="2032"/>
      <c r="V69" s="2032"/>
    </row>
    <row r="70" spans="1:22" ht="24" customHeight="1">
      <c r="A70" s="361" t="s">
        <v>396</v>
      </c>
      <c r="B70" s="3283" t="s">
        <v>397</v>
      </c>
      <c r="C70" s="3283"/>
      <c r="D70" s="360">
        <f ca="1">ROUND(D63*'数据-取费表'!B41/(1+'数据-取费表'!C42),0)</f>
        <v>3043</v>
      </c>
      <c r="E70" s="17" t="s">
        <v>398</v>
      </c>
      <c r="F70" s="362">
        <f>'数据-取费表'!B41</f>
        <v>5.5000000000000007E-2</v>
      </c>
      <c r="G70" s="363"/>
      <c r="H70" s="313"/>
      <c r="I70" s="1294"/>
      <c r="J70" s="2039"/>
      <c r="K70" s="3091"/>
      <c r="L70" s="3092"/>
      <c r="M70" s="3092"/>
      <c r="N70" s="3093" t="s">
        <v>2894</v>
      </c>
      <c r="O70" s="3092"/>
      <c r="P70" s="3094"/>
      <c r="Q70" s="2032"/>
      <c r="R70" s="2032"/>
      <c r="S70" s="2032"/>
      <c r="T70" s="2032"/>
      <c r="U70" s="2032"/>
      <c r="V70" s="2032"/>
    </row>
    <row r="71" spans="1:22" ht="12" customHeight="1">
      <c r="A71" s="361" t="s">
        <v>404</v>
      </c>
      <c r="B71" s="3284" t="s">
        <v>405</v>
      </c>
      <c r="C71" s="3285"/>
      <c r="D71" s="360">
        <f ca="1">ROUND(D63*'数据-取费表'!B41/(1+'数据-取费表'!C42),0)</f>
        <v>3043</v>
      </c>
      <c r="E71" s="17" t="s">
        <v>398</v>
      </c>
      <c r="F71" s="362">
        <f>'数据-取费表'!B41</f>
        <v>5.5000000000000007E-2</v>
      </c>
      <c r="G71" s="363"/>
      <c r="H71" s="313"/>
      <c r="I71" s="1294"/>
      <c r="J71" s="2039"/>
      <c r="K71" s="3090" t="s">
        <v>399</v>
      </c>
      <c r="L71" s="3356" t="s">
        <v>400</v>
      </c>
      <c r="M71" s="3356"/>
      <c r="N71" s="3090" t="s">
        <v>401</v>
      </c>
      <c r="O71" s="3090" t="s">
        <v>402</v>
      </c>
      <c r="P71" s="3090" t="s">
        <v>403</v>
      </c>
      <c r="Q71" s="2032"/>
      <c r="R71" s="2032"/>
      <c r="S71" s="2032"/>
      <c r="T71" s="2032"/>
      <c r="U71" s="2032"/>
      <c r="V71" s="2032"/>
    </row>
    <row r="72" spans="1:22" ht="12" customHeight="1">
      <c r="A72" s="361" t="s">
        <v>407</v>
      </c>
      <c r="B72" s="3284" t="s">
        <v>408</v>
      </c>
      <c r="C72" s="3285"/>
      <c r="D72" s="360">
        <f ca="1">C86</f>
        <v>2933</v>
      </c>
      <c r="E72" s="73" t="s">
        <v>409</v>
      </c>
      <c r="F72" s="362">
        <f>'数据-取费表'!B41</f>
        <v>5.5000000000000007E-2</v>
      </c>
      <c r="G72" s="363"/>
      <c r="H72" s="1300"/>
      <c r="I72" s="1294"/>
      <c r="J72" s="2039"/>
      <c r="K72" s="1980">
        <v>1</v>
      </c>
      <c r="L72" s="3331" t="s">
        <v>406</v>
      </c>
      <c r="M72" s="3331"/>
      <c r="N72" s="1298">
        <f ca="1">D66</f>
        <v>3043</v>
      </c>
      <c r="O72" s="1863" t="str">
        <f>E66</f>
        <v>销售额×税（费）率</v>
      </c>
      <c r="P72" s="1299">
        <f>F66</f>
        <v>5.5000000000000007E-2</v>
      </c>
      <c r="Q72" s="2032"/>
      <c r="R72" s="2032"/>
      <c r="S72" s="2032"/>
      <c r="T72" s="2032"/>
      <c r="U72" s="2032"/>
      <c r="V72" s="2032"/>
    </row>
    <row r="73" spans="1:22" ht="24" customHeight="1">
      <c r="A73" s="3325" t="s">
        <v>411</v>
      </c>
      <c r="B73" s="3293"/>
      <c r="C73" s="3293"/>
      <c r="D73" s="364">
        <f>IF(H73="个人住宅",0,ROUND(D63*I73,0))</f>
        <v>0</v>
      </c>
      <c r="E73" s="17" t="s">
        <v>412</v>
      </c>
      <c r="F73" s="362" t="str">
        <f>IF(H73="正常",I73,"免征")</f>
        <v>免征</v>
      </c>
      <c r="G73" s="363"/>
      <c r="H73" s="191" t="s">
        <v>2458</v>
      </c>
      <c r="I73" s="362">
        <f>'数据-取费表'!B49</f>
        <v>5.0000000000000001E-4</v>
      </c>
      <c r="J73" s="2039"/>
      <c r="K73" s="1980">
        <v>2</v>
      </c>
      <c r="L73" s="3331" t="s">
        <v>410</v>
      </c>
      <c r="M73" s="3331"/>
      <c r="N73" s="1298">
        <f t="shared" ref="N73:P74" si="1">D73</f>
        <v>0</v>
      </c>
      <c r="O73" s="1863" t="str">
        <f t="shared" si="1"/>
        <v>销售额×税（费）率</v>
      </c>
      <c r="P73" s="1299" t="str">
        <f t="shared" si="1"/>
        <v>免征</v>
      </c>
      <c r="Q73" s="2032"/>
      <c r="R73" s="2032"/>
      <c r="S73" s="2032"/>
      <c r="T73" s="2032"/>
      <c r="U73" s="2032"/>
      <c r="V73" s="2032"/>
    </row>
    <row r="74" spans="1:22" ht="24.75">
      <c r="A74" s="3325" t="s">
        <v>415</v>
      </c>
      <c r="B74" s="3293"/>
      <c r="C74" s="3293"/>
      <c r="D74" s="364">
        <f ca="1">IF(H74="个人住宅",D75,D76)</f>
        <v>32279</v>
      </c>
      <c r="E74" s="17" t="s">
        <v>416</v>
      </c>
      <c r="F74" s="362" t="str">
        <f>IF(H74="正常",F76,"免征")</f>
        <v>——</v>
      </c>
      <c r="G74" s="985" t="s">
        <v>417</v>
      </c>
      <c r="H74" s="365" t="s">
        <v>413</v>
      </c>
      <c r="I74" s="42"/>
      <c r="J74" s="2039"/>
      <c r="K74" s="1980">
        <v>3</v>
      </c>
      <c r="L74" s="3331" t="s">
        <v>414</v>
      </c>
      <c r="M74" s="3331"/>
      <c r="N74" s="1298">
        <f t="shared" ca="1" si="1"/>
        <v>32279</v>
      </c>
      <c r="O74" s="1863" t="str">
        <f t="shared" si="1"/>
        <v>增值额×税（费）率</v>
      </c>
      <c r="P74" s="1301" t="str">
        <f t="shared" si="1"/>
        <v>——</v>
      </c>
      <c r="Q74" s="2032"/>
      <c r="R74" s="2032"/>
      <c r="S74" s="2032"/>
      <c r="T74" s="2032"/>
      <c r="U74" s="2032"/>
      <c r="V74" s="2032"/>
    </row>
    <row r="75" spans="1:22" ht="24">
      <c r="A75" s="361" t="s">
        <v>418</v>
      </c>
      <c r="B75" s="3281" t="s">
        <v>419</v>
      </c>
      <c r="C75" s="3311"/>
      <c r="D75" s="366">
        <v>0</v>
      </c>
      <c r="E75" s="41" t="s">
        <v>420</v>
      </c>
      <c r="F75" s="367"/>
      <c r="G75" s="363"/>
      <c r="H75" s="42"/>
      <c r="I75" s="42"/>
      <c r="J75" s="2039"/>
      <c r="K75" s="3083">
        <f>IF(H77="非个人房产","",4)</f>
        <v>4</v>
      </c>
      <c r="L75" s="3331" t="str">
        <f>IF(H77="非个人房产","——","个人所得税")</f>
        <v>个人所得税</v>
      </c>
      <c r="M75" s="3331"/>
      <c r="N75" s="1302">
        <f ca="1">D77</f>
        <v>581</v>
      </c>
      <c r="O75" s="1876" t="str">
        <f>E77</f>
        <v>销售额×税（费）率</v>
      </c>
      <c r="P75" s="1303">
        <f>F77</f>
        <v>0.01</v>
      </c>
      <c r="Q75" s="2032"/>
      <c r="R75" s="2032"/>
      <c r="S75" s="2032"/>
      <c r="T75" s="2032"/>
      <c r="U75" s="2032"/>
      <c r="V75" s="2032"/>
    </row>
    <row r="76" spans="1:22" ht="24.75">
      <c r="A76" s="361" t="s">
        <v>396</v>
      </c>
      <c r="B76" s="3281" t="s">
        <v>422</v>
      </c>
      <c r="C76" s="3282"/>
      <c r="D76" s="364">
        <f ca="1">IF(H76="转让取得",C99,C115)</f>
        <v>32279</v>
      </c>
      <c r="E76" s="17" t="s">
        <v>423</v>
      </c>
      <c r="F76" s="53" t="s">
        <v>21</v>
      </c>
      <c r="G76" s="363"/>
      <c r="H76" s="365" t="s">
        <v>424</v>
      </c>
      <c r="I76" s="42"/>
      <c r="J76" s="2039"/>
      <c r="K76" s="3083" t="str">
        <f>IF(项目基本情况!K6="上海银行",IF(K75="",4,K75+1),"")</f>
        <v/>
      </c>
      <c r="L76" s="3342" t="str">
        <f>IF(项目基本情况!K6="上海银行","其他处置费用","")</f>
        <v/>
      </c>
      <c r="M76" s="3343"/>
      <c r="N76" s="1298" t="str">
        <f>IF(项目基本情况!K6="上海银行",N89,"")</f>
        <v/>
      </c>
      <c r="O76" s="3344" t="str">
        <f>IF(项目基本情况!K6="上海银行","包含处置中涉及的律师、诉讼、拍卖、评估等费用","")</f>
        <v/>
      </c>
      <c r="P76" s="3345"/>
      <c r="Q76" s="2032"/>
      <c r="R76" s="2032"/>
      <c r="S76" s="2032"/>
      <c r="T76" s="2032"/>
      <c r="U76" s="2032"/>
      <c r="V76" s="2032"/>
    </row>
    <row r="77" spans="1:22" ht="26.25" thickBot="1">
      <c r="A77" s="3333" t="s">
        <v>426</v>
      </c>
      <c r="B77" s="3334"/>
      <c r="C77" s="3334"/>
      <c r="D77" s="368">
        <f ca="1">IF(H77="非个人房产","——",IF(H77="个人住宅",0,ROUND(D63*I77,0)))</f>
        <v>581</v>
      </c>
      <c r="E77" s="369" t="str">
        <f>IF(H77="非个人房产","——","销售额×税（费）率")</f>
        <v>销售额×税（费）率</v>
      </c>
      <c r="F77" s="370">
        <f>IF(H77="非个人房产","——",IF(H77="个人住宅","免征",I77))</f>
        <v>0.01</v>
      </c>
      <c r="G77" s="986" t="s">
        <v>417</v>
      </c>
      <c r="H77" s="365" t="s">
        <v>2890</v>
      </c>
      <c r="I77" s="371">
        <v>0.01</v>
      </c>
      <c r="J77" s="2039"/>
      <c r="K77" s="3332">
        <f>IF(AND(K75="",K76=""),4,IF(项目基本情况!K6="上海银行",K76+1,K75+1))</f>
        <v>5</v>
      </c>
      <c r="L77" s="3331" t="s">
        <v>2891</v>
      </c>
      <c r="M77" s="3089" t="s">
        <v>421</v>
      </c>
      <c r="N77" s="1304"/>
      <c r="O77" s="1305">
        <f ca="1">SUMIF(N72:N76,"&lt;9e307")</f>
        <v>35903</v>
      </c>
      <c r="P77" s="1306"/>
      <c r="Q77" s="3087">
        <f ca="1">O77/N69</f>
        <v>0.37078767724545331</v>
      </c>
      <c r="R77" s="2032"/>
      <c r="S77" s="2032"/>
      <c r="T77" s="2032"/>
      <c r="U77" s="2032"/>
      <c r="V77" s="2032"/>
    </row>
    <row r="78" spans="1:22" ht="12" customHeight="1">
      <c r="A78" s="1307"/>
      <c r="B78" s="313"/>
      <c r="C78" s="313"/>
      <c r="D78" s="313"/>
      <c r="E78" s="42"/>
      <c r="F78" s="42"/>
      <c r="G78" s="42"/>
      <c r="H78" s="1005"/>
      <c r="I78" s="313"/>
      <c r="J78" s="2039"/>
      <c r="K78" s="3332"/>
      <c r="L78" s="3331"/>
      <c r="M78" s="3089" t="s">
        <v>425</v>
      </c>
      <c r="N78" s="1304"/>
      <c r="O78" s="1305" t="str">
        <f ca="1">NUMBERSTRING(INT(O77*10000),2)&amp;"元整"</f>
        <v>叁亿伍仟玖佰零叁万元整</v>
      </c>
      <c r="P78" s="1306"/>
      <c r="Q78" s="2032"/>
      <c r="R78" s="2032"/>
      <c r="S78" s="2032"/>
      <c r="T78" s="2032"/>
      <c r="U78" s="2032"/>
      <c r="V78" s="2032"/>
    </row>
    <row r="79" spans="1:22" ht="13.5" thickBot="1">
      <c r="A79" s="3326" t="s">
        <v>427</v>
      </c>
      <c r="B79" s="3326"/>
      <c r="C79" s="3326"/>
      <c r="D79" s="3326"/>
      <c r="E79" s="3326"/>
      <c r="F79" s="42"/>
      <c r="G79" s="42"/>
      <c r="H79" s="1005"/>
      <c r="I79" s="313"/>
      <c r="J79" s="2039"/>
      <c r="K79" s="3352">
        <f>K77+1</f>
        <v>6</v>
      </c>
      <c r="L79" s="3331" t="s">
        <v>2892</v>
      </c>
      <c r="M79" s="3089" t="s">
        <v>421</v>
      </c>
      <c r="N79" s="1304"/>
      <c r="O79" s="1305">
        <f ca="1">N69-O77</f>
        <v>60926</v>
      </c>
      <c r="P79" s="1306"/>
      <c r="Q79" s="2032"/>
      <c r="R79" s="2032"/>
      <c r="S79" s="2032"/>
      <c r="T79" s="2032"/>
      <c r="U79" s="2032"/>
      <c r="V79" s="2032"/>
    </row>
    <row r="80" spans="1:22" ht="25.5">
      <c r="A80" s="3321" t="s">
        <v>428</v>
      </c>
      <c r="B80" s="3322"/>
      <c r="C80" s="996"/>
      <c r="D80" s="996" t="s">
        <v>429</v>
      </c>
      <c r="E80" s="372" t="s">
        <v>430</v>
      </c>
      <c r="F80" s="42"/>
      <c r="G80" s="42"/>
      <c r="H80" s="1005"/>
      <c r="I80" s="313"/>
      <c r="J80" s="2032"/>
      <c r="K80" s="3353"/>
      <c r="L80" s="3331"/>
      <c r="M80" s="3089" t="s">
        <v>425</v>
      </c>
      <c r="N80" s="1304"/>
      <c r="O80" s="1305" t="str">
        <f ca="1">NUMBERSTRING(INT(O79*10000),2)&amp;"元整"</f>
        <v>陆亿零玖佰贰拾陆万元整</v>
      </c>
      <c r="P80" s="1306"/>
      <c r="Q80" s="2032"/>
      <c r="R80" s="2032"/>
      <c r="S80" s="2032"/>
      <c r="T80" s="2032"/>
      <c r="U80" s="2032"/>
      <c r="V80" s="2032"/>
    </row>
    <row r="81" spans="1:26" ht="13.5" thickBot="1">
      <c r="A81" s="383" t="s">
        <v>1822</v>
      </c>
      <c r="B81" s="373" t="s">
        <v>431</v>
      </c>
      <c r="C81" s="374">
        <f ca="1">ROUND((C82+C83)/(1+'数据-取费表'!C42),0)</f>
        <v>55330</v>
      </c>
      <c r="D81" s="375"/>
      <c r="E81" s="376"/>
      <c r="F81" s="42"/>
      <c r="G81" s="42"/>
      <c r="H81" s="1005"/>
      <c r="I81" s="313"/>
      <c r="J81" s="2032"/>
      <c r="K81" s="3083">
        <f>K79+1</f>
        <v>7</v>
      </c>
      <c r="L81" s="3329" t="s">
        <v>2893</v>
      </c>
      <c r="M81" s="3330"/>
      <c r="N81" s="1308"/>
      <c r="O81" s="1309">
        <f ca="1">ROUND(O79*10000/'数据-汇总表'!E3,0)</f>
        <v>6397</v>
      </c>
      <c r="P81" s="1310"/>
      <c r="Q81" s="2032"/>
      <c r="R81" s="2032"/>
      <c r="S81" s="2032"/>
      <c r="T81" s="2032"/>
      <c r="U81" s="2032"/>
      <c r="V81" s="2032"/>
    </row>
    <row r="82" spans="1:26" ht="13.5" thickTop="1">
      <c r="A82" s="377" t="s">
        <v>1823</v>
      </c>
      <c r="B82" s="378" t="s">
        <v>432</v>
      </c>
      <c r="C82" s="379">
        <f ca="1">D63</f>
        <v>58097</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1824</v>
      </c>
      <c r="B83" s="378" t="s">
        <v>433</v>
      </c>
      <c r="C83" s="382">
        <v>0</v>
      </c>
      <c r="D83" s="380"/>
      <c r="E83" s="381"/>
      <c r="F83" s="42"/>
      <c r="G83" s="42"/>
      <c r="H83" s="1005"/>
      <c r="I83" s="313"/>
      <c r="J83" s="2032"/>
      <c r="K83" s="3341" t="s">
        <v>2880</v>
      </c>
      <c r="L83" s="3095" t="s">
        <v>2881</v>
      </c>
      <c r="M83" s="3085">
        <f ca="1">IF(N69&gt;10000,N69*0.5%,IF(AND(N69&gt;1000,N69&lt;=10000),N69*1%,IF(AND(N69&gt;100,N69&lt;=1000),N69*3%,IF(AND(N69&gt;10,N69&lt;=100),N69*5%,N69*8%))))</f>
        <v>484.14499999999998</v>
      </c>
      <c r="N83" s="53">
        <f ca="1">ROUND(M83,1)</f>
        <v>484.1</v>
      </c>
      <c r="O83" s="3088"/>
      <c r="P83" s="2032"/>
      <c r="Q83" s="2032"/>
      <c r="R83" s="2032"/>
      <c r="S83" s="2032"/>
      <c r="T83" s="2032"/>
      <c r="U83" s="2032"/>
      <c r="V83" s="2032"/>
    </row>
    <row r="84" spans="1:26" ht="12.75">
      <c r="A84" s="383" t="s">
        <v>1825</v>
      </c>
      <c r="B84" s="384" t="s">
        <v>434</v>
      </c>
      <c r="C84" s="385">
        <v>2000</v>
      </c>
      <c r="D84" s="386" t="s">
        <v>19</v>
      </c>
      <c r="E84" s="3130" t="s">
        <v>2949</v>
      </c>
      <c r="F84" s="42"/>
      <c r="G84" s="42"/>
      <c r="H84" s="1005"/>
      <c r="I84" s="313"/>
      <c r="J84" s="2032"/>
      <c r="K84" s="3341"/>
      <c r="L84" s="3095" t="s">
        <v>2882</v>
      </c>
      <c r="M84" s="3085">
        <f ca="1">IF(N69&gt;2000,N69*0.5%,IF(AND(N69&gt;1000,N69&lt;=2000),N69*0.6%,IF(AND(N69&gt;500,N69&lt;=1000),N69*0.7%,IF(AND(N69&gt;200,N69&lt;=500),N69*0.8%,IF(AND(N69&gt;100,N69&lt;=200),N69*0.9%,IF(AND(N69&gt;50,N69&lt;=100),N69*1%,IF(AND(N69&gt;20,N69&lt;=50),N69*1.5%,IF(AND(N69&gt;10,N69&lt;=20),N69*2%,IF(AND(N69&gt;1,N69&lt;=10),N69*2.5%)))))))))</f>
        <v>484.14499999999998</v>
      </c>
      <c r="N84" s="53">
        <f t="shared" ref="N84:N85" ca="1" si="2">ROUND(M84,1)</f>
        <v>484.1</v>
      </c>
      <c r="O84" s="2032" t="s">
        <v>2883</v>
      </c>
      <c r="P84" s="2032"/>
      <c r="Q84" s="2032"/>
      <c r="R84" s="2032"/>
      <c r="S84" s="2032"/>
      <c r="T84" s="2032"/>
      <c r="U84" s="2032"/>
      <c r="V84" s="2032"/>
    </row>
    <row r="85" spans="1:26" ht="12.75">
      <c r="A85" s="383" t="s">
        <v>1826</v>
      </c>
      <c r="B85" s="384" t="s">
        <v>435</v>
      </c>
      <c r="C85" s="387">
        <f ca="1">C81-C84</f>
        <v>53330</v>
      </c>
      <c r="D85" s="380" t="s">
        <v>19</v>
      </c>
      <c r="E85" s="381"/>
      <c r="F85" s="42"/>
      <c r="G85" s="42"/>
      <c r="H85" s="1005"/>
      <c r="I85" s="313"/>
      <c r="J85" s="2032"/>
      <c r="K85" s="3341"/>
      <c r="L85" s="3095" t="s">
        <v>2884</v>
      </c>
      <c r="M85" s="3085">
        <f ca="1">IF(N69&gt;1000,N69*0.1%,IF(AND(N69&gt;500,N69&lt;=1000),N69*0.5%,IF(AND(N69&gt;50,N69&lt;=500),N69*1%,IF(AND(N69&gt;1,N69&lt;=50),N69*1.5%))))</f>
        <v>96.829000000000008</v>
      </c>
      <c r="N85" s="53">
        <f t="shared" ca="1" si="2"/>
        <v>96.8</v>
      </c>
      <c r="O85" s="2032" t="s">
        <v>2883</v>
      </c>
      <c r="P85" s="2032"/>
      <c r="Q85" s="2032"/>
      <c r="R85" s="2032"/>
      <c r="S85" s="2032"/>
      <c r="T85" s="2032"/>
      <c r="U85" s="2032"/>
      <c r="V85" s="2032"/>
    </row>
    <row r="86" spans="1:26" ht="13.5" thickBot="1">
      <c r="A86" s="388" t="s">
        <v>1827</v>
      </c>
      <c r="B86" s="389" t="s">
        <v>436</v>
      </c>
      <c r="C86" s="390">
        <f ca="1">IF(C85&lt;=0,0,ROUND(C85*D86,0))</f>
        <v>2933</v>
      </c>
      <c r="D86" s="391">
        <f>'数据-取费表'!B41</f>
        <v>5.5000000000000007E-2</v>
      </c>
      <c r="E86" s="392"/>
      <c r="F86" s="42"/>
      <c r="G86" s="42"/>
      <c r="H86" s="1005"/>
      <c r="I86" s="313"/>
      <c r="J86" s="2032"/>
      <c r="K86" s="3341"/>
      <c r="L86" s="3095" t="s">
        <v>2885</v>
      </c>
      <c r="M86" s="3085">
        <f ca="1">N69*0.5%</f>
        <v>484.14499999999998</v>
      </c>
      <c r="N86" s="53">
        <f ca="1">IF(M86&gt;0.5,0.5,ROUND(M86,0))</f>
        <v>0.5</v>
      </c>
      <c r="O86" s="2032" t="s">
        <v>2886</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341"/>
      <c r="L87" s="3095" t="s">
        <v>2887</v>
      </c>
      <c r="M87" s="3085">
        <f ca="1">IF(N69&gt;=10000,(8.25+(N69-10000)*0.01%),IF(AND(N69&gt;=8000,N69&lt;10000),(7.85+(N69-8000)*0.02%),IF(AND(N69&gt;=5000,N69&lt;8000),(6.65+(N69-5000)*0.04%),IF(AND(N69&gt;=2000,N69&lt;5000),(4.25+(PN69-2000)*0.08%),IF(AND(N69&gt;=1000,N69&lt;2000),(2.75+(N69-1000)*0.15%),IF(AND(N69&gt;=100,N69&lt;1000),(0.5+(N69-100)*0.25%),IF(AND(N69&gt;0,N69&lt;100),N69*0.5%)))))))</f>
        <v>16.9329</v>
      </c>
      <c r="N87" s="53">
        <f ca="1">ROUND(M87*0.9,1)</f>
        <v>15.2</v>
      </c>
      <c r="O87" s="3088"/>
      <c r="P87" s="313"/>
      <c r="Q87" s="2032"/>
      <c r="R87" s="2032"/>
      <c r="S87" s="2032"/>
      <c r="T87" s="2032"/>
      <c r="U87" s="2032"/>
      <c r="V87" s="2032"/>
      <c r="W87" s="291"/>
      <c r="X87" s="291"/>
      <c r="Y87" s="291"/>
      <c r="Z87" s="291"/>
    </row>
    <row r="88" spans="1:26" s="1316" customFormat="1" ht="15" thickBot="1">
      <c r="A88" s="3323" t="s">
        <v>437</v>
      </c>
      <c r="B88" s="3324"/>
      <c r="C88" s="3324"/>
      <c r="D88" s="3324"/>
      <c r="E88" s="3324"/>
      <c r="F88" s="3324"/>
      <c r="G88" s="3324"/>
      <c r="H88" s="3324"/>
      <c r="I88" s="1317"/>
      <c r="J88" s="2040"/>
      <c r="K88" s="3341"/>
      <c r="L88" s="3095" t="s">
        <v>2888</v>
      </c>
      <c r="M88" s="3085">
        <f ca="1">IF(N69&gt;10000,N69*0.5%,IF(AND(N69&gt;5000,N69&lt;=10000),N69*1%,IF(AND(N69&gt;1000,N69&lt;=5000),N69*2%,IF(AND(N69&gt;200,N69&lt;=1000),N69*3%,N69*5%))))</f>
        <v>484.14499999999998</v>
      </c>
      <c r="N88" s="53">
        <f ca="1">ROUND(M88,1)</f>
        <v>484.1</v>
      </c>
      <c r="O88" s="3088"/>
      <c r="P88" s="11"/>
      <c r="Q88" s="2037"/>
      <c r="R88" s="2037"/>
      <c r="S88" s="2037"/>
      <c r="T88" s="2037"/>
      <c r="U88" s="2037"/>
      <c r="V88" s="2037"/>
      <c r="W88" s="2041"/>
      <c r="X88" s="2041"/>
      <c r="Y88" s="2041"/>
      <c r="Z88" s="2041"/>
    </row>
    <row r="89" spans="1:26" s="1316" customFormat="1" ht="14.25">
      <c r="A89" s="3321" t="s">
        <v>428</v>
      </c>
      <c r="B89" s="3322"/>
      <c r="C89" s="996"/>
      <c r="D89" s="996" t="s">
        <v>429</v>
      </c>
      <c r="E89" s="393" t="s">
        <v>438</v>
      </c>
      <c r="F89" s="394"/>
      <c r="G89" s="394"/>
      <c r="H89" s="395"/>
      <c r="I89" s="1318"/>
      <c r="J89" s="2042"/>
      <c r="K89" s="3341"/>
      <c r="L89" s="3095" t="s">
        <v>27</v>
      </c>
      <c r="M89" s="3086"/>
      <c r="N89" s="53">
        <f ca="1">ROUND(SUM(N83:N88),0)</f>
        <v>1565</v>
      </c>
      <c r="O89" s="3096">
        <f ca="1">N89/N69</f>
        <v>1.6162513296636337E-2</v>
      </c>
      <c r="P89" s="2037"/>
      <c r="Q89" s="2037"/>
      <c r="R89" s="2037"/>
      <c r="S89" s="2037"/>
      <c r="T89" s="2037"/>
      <c r="U89" s="2037"/>
      <c r="V89" s="2037"/>
      <c r="W89" s="2041"/>
      <c r="X89" s="2041"/>
      <c r="Y89" s="2041"/>
      <c r="Z89" s="2041"/>
    </row>
    <row r="90" spans="1:26" s="1316" customFormat="1" ht="14.25">
      <c r="A90" s="383" t="s">
        <v>1822</v>
      </c>
      <c r="B90" s="384" t="s">
        <v>439</v>
      </c>
      <c r="C90" s="387">
        <f ca="1">ROUND(D63/(1+'数据-取费表'!C42),0)</f>
        <v>55330</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1828</v>
      </c>
      <c r="B91" s="350" t="s">
        <v>440</v>
      </c>
      <c r="C91" s="387">
        <f ca="1">C92+C96</f>
        <v>2838</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1829</v>
      </c>
      <c r="B92" s="378" t="s">
        <v>441</v>
      </c>
      <c r="C92" s="380">
        <f>ROUND(IF(G95="2016年5月1日后购买",C93/(1+'数据-取费表'!C30)+C94+C95,C93+C94+C95),0)</f>
        <v>2561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1830</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1831</v>
      </c>
      <c r="B94" s="402" t="s">
        <v>446</v>
      </c>
      <c r="C94" s="380">
        <f>IF(F93="购房发票",ROUND(C93*H93*5%,0),0)</f>
        <v>500</v>
      </c>
      <c r="D94" s="403">
        <v>0.05</v>
      </c>
      <c r="E94" s="3284" t="s">
        <v>447</v>
      </c>
      <c r="F94" s="3283"/>
      <c r="G94" s="3283"/>
      <c r="H94" s="3320"/>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1832</v>
      </c>
      <c r="B95" s="378" t="s">
        <v>448</v>
      </c>
      <c r="C95" s="380">
        <f>ROUND(IF(G95="个人买卖住房",0,IF(G95="2016年5月1日前购买",C93*D95,C93*D95/(1+'数据-取费表'!C42))),0)</f>
        <v>61</v>
      </c>
      <c r="D95" s="404">
        <f>'数据-取费表'!B48+'数据-取费表'!B49</f>
        <v>3.0499999999999999E-2</v>
      </c>
      <c r="E95" s="26" t="s">
        <v>449</v>
      </c>
      <c r="F95" s="405"/>
      <c r="G95" s="406" t="s">
        <v>2431</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1833</v>
      </c>
      <c r="B96" s="378" t="s">
        <v>450</v>
      </c>
      <c r="C96" s="407">
        <f ca="1">ROUND(D63*D96/(1+'数据-取费表'!C42),0)</f>
        <v>277</v>
      </c>
      <c r="D96" s="408">
        <f>'数据-取费表'!B43</f>
        <v>5.000000000000001E-3</v>
      </c>
      <c r="E96" s="3312" t="s">
        <v>2430</v>
      </c>
      <c r="F96" s="3313"/>
      <c r="G96" s="3313"/>
      <c r="H96" s="3314"/>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0" t="s">
        <v>1834</v>
      </c>
      <c r="B97" s="384" t="s">
        <v>451</v>
      </c>
      <c r="C97" s="387">
        <f ca="1">C90-C91</f>
        <v>52492</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0" t="s">
        <v>1835</v>
      </c>
      <c r="B98" s="384" t="s">
        <v>452</v>
      </c>
      <c r="C98" s="409">
        <f ca="1">IF(C97&lt;=0,0,C97/C91)</f>
        <v>18.496124031007753</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1" t="s">
        <v>1836</v>
      </c>
      <c r="B99" s="389" t="s">
        <v>453</v>
      </c>
      <c r="C99" s="410">
        <f ca="1">ROUND(IF(C97&lt;=0,0,IF(C98&gt;=200%,C97*60%-C91*35%,IF(C98&gt;=100%,C97*50%-C91*15%,IF(C98&gt;=50%,C97*40%-C91*5%,IF(C98&lt;50%,C97*30%,0))))),0)</f>
        <v>30502</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23" t="s">
        <v>454</v>
      </c>
      <c r="B101" s="3324"/>
      <c r="C101" s="3324"/>
      <c r="D101" s="3324"/>
      <c r="E101" s="3324"/>
      <c r="F101" s="3324"/>
      <c r="G101" s="3324"/>
      <c r="H101" s="3324"/>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321" t="s">
        <v>428</v>
      </c>
      <c r="B102" s="3322"/>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1822</v>
      </c>
      <c r="B103" s="384" t="s">
        <v>439</v>
      </c>
      <c r="C103" s="387">
        <f ca="1">ROUND(D63/(1+'数据-取费表'!C42),0)</f>
        <v>55330</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1828</v>
      </c>
      <c r="B104" s="350" t="s">
        <v>440</v>
      </c>
      <c r="C104" s="387">
        <f ca="1">IF(H106="仅含出让金",C105+C108+C109+C110+C111+C112,C105+C109+C110+C111+C112)</f>
        <v>967</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1829</v>
      </c>
      <c r="B105" s="378" t="s">
        <v>455</v>
      </c>
      <c r="C105" s="407">
        <f>C106+C107</f>
        <v>572</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1830</v>
      </c>
      <c r="B106" s="378" t="s">
        <v>456</v>
      </c>
      <c r="C106" s="418">
        <v>555</v>
      </c>
      <c r="D106" s="408"/>
      <c r="E106" s="419" t="s">
        <v>457</v>
      </c>
      <c r="F106" s="988"/>
      <c r="G106" s="420" t="s">
        <v>458</v>
      </c>
      <c r="H106" s="421" t="s">
        <v>2441</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1831</v>
      </c>
      <c r="B107" s="378" t="s">
        <v>448</v>
      </c>
      <c r="C107" s="407">
        <f>ROUND(C106*D107,0)</f>
        <v>17</v>
      </c>
      <c r="D107" s="408">
        <f>'数据-取费表'!B48+'数据-取费表'!B49</f>
        <v>3.0499999999999999E-2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1833</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2" t="s">
        <v>1837</v>
      </c>
      <c r="B109" s="378" t="s">
        <v>461</v>
      </c>
      <c r="C109" s="407">
        <f>IF(H109="——",IF(F1="现房",'剩余法-现房'!C18,'剩余法-待开发'!C18),I109)</f>
        <v>55</v>
      </c>
      <c r="D109" s="408"/>
      <c r="E109" s="3315" t="s">
        <v>462</v>
      </c>
      <c r="F109" s="3313"/>
      <c r="G109" s="3313"/>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2" t="s">
        <v>1838</v>
      </c>
      <c r="B110" s="378" t="s">
        <v>463</v>
      </c>
      <c r="C110" s="407">
        <f>ROUND((C105+C108+C109)*D110,0)</f>
        <v>63</v>
      </c>
      <c r="D110" s="408">
        <v>0.1</v>
      </c>
      <c r="E110" s="3315" t="s">
        <v>464</v>
      </c>
      <c r="F110" s="3313"/>
      <c r="G110" s="3313"/>
      <c r="H110" s="3314"/>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2" t="s">
        <v>1839</v>
      </c>
      <c r="B111" s="378" t="s">
        <v>450</v>
      </c>
      <c r="C111" s="407">
        <f ca="1">ROUND(D63*D111/(1+'数据-取费表'!C42),0)</f>
        <v>277</v>
      </c>
      <c r="D111" s="408">
        <f>'数据-取费表'!B43</f>
        <v>5.000000000000001E-3</v>
      </c>
      <c r="E111" s="3312" t="s">
        <v>2430</v>
      </c>
      <c r="F111" s="3313"/>
      <c r="G111" s="3313"/>
      <c r="H111" s="3314"/>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2" t="s">
        <v>1840</v>
      </c>
      <c r="B112" s="378" t="s">
        <v>465</v>
      </c>
      <c r="C112" s="407">
        <f>ROUND(C108*D112,0)</f>
        <v>0</v>
      </c>
      <c r="D112" s="408">
        <v>0.2</v>
      </c>
      <c r="E112" s="3315" t="s">
        <v>2455</v>
      </c>
      <c r="F112" s="3313"/>
      <c r="G112" s="3313"/>
      <c r="H112" s="3314"/>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0" t="s">
        <v>1834</v>
      </c>
      <c r="B113" s="384" t="s">
        <v>451</v>
      </c>
      <c r="C113" s="387">
        <f ca="1">ROUND(C103-C104,0)</f>
        <v>54363</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0" t="s">
        <v>1835</v>
      </c>
      <c r="B114" s="384" t="s">
        <v>452</v>
      </c>
      <c r="C114" s="409">
        <f ca="1">IF(C113&lt;=0,0,C113/C104)</f>
        <v>56.218200620475699</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1" t="s">
        <v>1836</v>
      </c>
      <c r="B115" s="389" t="s">
        <v>453</v>
      </c>
      <c r="C115" s="410">
        <f ca="1">ROUND(IF(C113&lt;=0,0,IF(C114&gt;=200%,C113*60%-C104*35%,IF(C114&gt;=100%,C113*50%-C104*15%,IF(C114&gt;=50%,C113*40%-C104*5%,IF(C114&lt;50%,C113*30%,0))))),0)</f>
        <v>32279</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1" sqref="B1"/>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4">
        <f>MATCH(B1,'数据-取费表'!A6:A16,0)+5</f>
        <v>9</v>
      </c>
    </row>
    <row r="2" spans="1:31" s="2045" customFormat="1" ht="18" customHeight="1">
      <c r="A2" s="2105" t="s">
        <v>467</v>
      </c>
      <c r="B2" s="2109">
        <f ca="1">C36</f>
        <v>99229</v>
      </c>
      <c r="C2" s="2108"/>
      <c r="D2" s="2108"/>
      <c r="E2" s="2108"/>
      <c r="F2" s="2108"/>
      <c r="G2" s="2108"/>
      <c r="H2" s="2108"/>
      <c r="I2" s="2108"/>
      <c r="J2" s="2108"/>
      <c r="K2" s="2108"/>
    </row>
    <row r="3" spans="1:31" s="2045" customFormat="1" ht="18" customHeight="1">
      <c r="A3" s="2110" t="s">
        <v>1683</v>
      </c>
      <c r="B3" s="2111">
        <f ca="1">ROUND(B2*10000/IF(B1="",'数据-汇总表'!E3,INDIRECT("'数据-取费表'!K"&amp;$K$1)),0)</f>
        <v>10419</v>
      </c>
      <c r="C3" s="2108"/>
      <c r="D3" s="2108"/>
      <c r="E3" s="2108"/>
      <c r="F3" s="2108"/>
      <c r="G3" s="2108"/>
      <c r="H3" s="2108"/>
      <c r="I3" s="2108"/>
      <c r="J3" s="2108"/>
      <c r="K3" s="2108"/>
    </row>
    <row r="4" spans="1:31" s="2045" customFormat="1" ht="18" customHeight="1">
      <c r="A4" s="428" t="s">
        <v>468</v>
      </c>
      <c r="B4" s="429">
        <f ca="1">ROUND(B2*10000/IF(B1="",'数据-汇总表'!D3,INDIRECT("'数据-取费表'!R"&amp;$K$1)),0)</f>
        <v>104203</v>
      </c>
      <c r="C4" s="430"/>
      <c r="D4" s="424"/>
      <c r="E4" s="424"/>
      <c r="F4" s="424"/>
      <c r="G4" s="424"/>
      <c r="H4" s="424"/>
      <c r="I4" s="424"/>
      <c r="J4" s="424"/>
      <c r="K4" s="424"/>
    </row>
    <row r="5" spans="1:31" s="2045" customFormat="1" ht="18" customHeight="1" thickBot="1">
      <c r="A5" s="431"/>
      <c r="B5" s="432">
        <f ca="1">ROUND(B2/(IF(B1="",'数据-汇总表'!D3,INDIRECT("'数据-取费表'!R"&amp;$K$1))/666.67),0)</f>
        <v>6947</v>
      </c>
      <c r="C5" s="433" t="s">
        <v>469</v>
      </c>
      <c r="D5" s="424"/>
      <c r="E5" s="424"/>
      <c r="F5" s="424"/>
      <c r="G5" s="424"/>
      <c r="H5" s="424"/>
      <c r="I5" s="424"/>
      <c r="J5" s="424"/>
      <c r="K5" s="424"/>
    </row>
    <row r="6" spans="1:31" s="2115" customFormat="1" ht="16.5" customHeight="1">
      <c r="A6" s="2858" t="s">
        <v>1841</v>
      </c>
      <c r="B6" s="2859"/>
      <c r="C6" s="2860">
        <f ca="1">SUM(C10:K10)</f>
        <v>201713</v>
      </c>
      <c r="D6" s="2859"/>
      <c r="E6" s="2859"/>
      <c r="F6" s="2859"/>
      <c r="G6" s="2859"/>
      <c r="H6" s="2859"/>
      <c r="I6" s="2859"/>
      <c r="J6" s="2859"/>
      <c r="K6" s="2861"/>
    </row>
    <row r="7" spans="1:31" s="2117" customFormat="1" ht="15">
      <c r="A7" s="2862" t="s">
        <v>470</v>
      </c>
      <c r="B7" s="2863" t="s">
        <v>471</v>
      </c>
      <c r="C7" s="438" t="s">
        <v>1679</v>
      </c>
      <c r="D7" s="438" t="s">
        <v>2984</v>
      </c>
      <c r="E7" s="438" t="s">
        <v>35</v>
      </c>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5" t="s">
        <v>1844</v>
      </c>
      <c r="B8" s="260" t="s">
        <v>472</v>
      </c>
      <c r="C8" s="2864">
        <f ca="1">'不动产收益法（办公）'!B3</f>
        <v>27943</v>
      </c>
      <c r="D8" s="2864">
        <f ca="1">'不动产收益法（商业）'!B3</f>
        <v>26077</v>
      </c>
      <c r="E8" s="2864">
        <f ca="1">'不动产收益法（车库）'!B3</f>
        <v>3460</v>
      </c>
      <c r="F8" s="2864"/>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5" t="s">
        <v>1845</v>
      </c>
      <c r="B9" s="260" t="s">
        <v>473</v>
      </c>
      <c r="C9" s="443">
        <f>SUMIF('数据-汇总表'!$C19:$C33,'剩余法-待开发'!C7,'数据-汇总表'!$E19:$E33)</f>
        <v>27804.46</v>
      </c>
      <c r="D9" s="443">
        <f>SUMIF('数据-汇总表'!$C19:$C33,'剩余法-待开发'!D7,'数据-汇总表'!$E19:$E33)</f>
        <v>45465.4</v>
      </c>
      <c r="E9" s="443">
        <f>SUMIF('数据-汇总表'!$C19:$C33,'剩余法-待开发'!E7,'数据-汇总表'!$E19:$E33)</f>
        <v>15772.600000000002</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1846</v>
      </c>
      <c r="B10" s="2852" t="s">
        <v>474</v>
      </c>
      <c r="C10" s="3058">
        <f ca="1">'不动产收益法（办公）'!B2</f>
        <v>77693</v>
      </c>
      <c r="D10" s="3058">
        <f ca="1">'不动产收益法（商业）'!B2</f>
        <v>118562</v>
      </c>
      <c r="E10" s="3058">
        <f ca="1">'不动产收益法（车库）'!B2</f>
        <v>5458</v>
      </c>
      <c r="F10" s="2867"/>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1842</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1847</v>
      </c>
      <c r="B13" s="2873" t="s">
        <v>479</v>
      </c>
      <c r="C13" s="452">
        <f ca="1">IF(B1="",'数据-取费表'!P16,INDIRECT("'数据-取费表'!p"&amp;$K$1)+INDIRECT("'数据-取费表'!t"&amp;$K$1))</f>
        <v>35590</v>
      </c>
      <c r="D13" s="2874"/>
      <c r="E13" s="2875"/>
      <c r="F13" s="2876"/>
      <c r="G13" s="2842"/>
      <c r="H13" s="2843"/>
      <c r="I13" s="2843"/>
      <c r="J13" s="2843"/>
      <c r="K13" s="2844"/>
    </row>
    <row r="14" spans="1:31" s="2120" customFormat="1" ht="13.5" customHeight="1">
      <c r="A14" s="2872" t="s">
        <v>1848</v>
      </c>
      <c r="B14" s="2873" t="s">
        <v>480</v>
      </c>
      <c r="C14" s="53">
        <f ca="1">ROUND(C13*F14,0)</f>
        <v>1068</v>
      </c>
      <c r="D14" s="2874"/>
      <c r="E14" s="2875"/>
      <c r="F14" s="2877">
        <f>'数据-取费表'!B33</f>
        <v>0.03</v>
      </c>
      <c r="G14" s="2842" t="s">
        <v>481</v>
      </c>
      <c r="H14" s="2843"/>
      <c r="I14" s="2843"/>
      <c r="J14" s="2843"/>
      <c r="K14" s="2844"/>
    </row>
    <row r="15" spans="1:31" s="2120" customFormat="1" ht="13.5" customHeight="1">
      <c r="A15" s="2872" t="s">
        <v>1849</v>
      </c>
      <c r="B15" s="2873" t="s">
        <v>482</v>
      </c>
      <c r="C15" s="53">
        <f ca="1">ROUND(IF(B1="",SUMIF('数据-取费表'!C:C,"住宅",'数据-取费表'!P:P)*F15,IF(INDIRECT("'数据-取费表'!c"&amp;$K$1)="住宅",INDIRECT("'数据-取费表'!P"&amp;$K$1)*F15,0)),0)</f>
        <v>0</v>
      </c>
      <c r="D15" s="2874"/>
      <c r="E15" s="2875"/>
      <c r="F15" s="2877">
        <f>'数据-取费表'!B34</f>
        <v>0</v>
      </c>
      <c r="G15" s="2842" t="s">
        <v>483</v>
      </c>
      <c r="H15" s="2843"/>
      <c r="I15" s="2843"/>
      <c r="J15" s="2843"/>
      <c r="K15" s="2844"/>
    </row>
    <row r="16" spans="1:31" s="2121" customFormat="1" ht="13.5" customHeight="1">
      <c r="A16" s="2872" t="s">
        <v>1850</v>
      </c>
      <c r="B16" s="2873" t="s">
        <v>484</v>
      </c>
      <c r="C16" s="53">
        <f ca="1">ROUND(D16*E16/10000,0)</f>
        <v>1905</v>
      </c>
      <c r="D16" s="2874">
        <f ca="1">IF(B1="",'数据-汇总表'!E3,INDIRECT("'数据-取费表'!K"&amp;$K$1)+INDIRECT("'数据-取费表'!S"&amp;$K$1))</f>
        <v>95241.88</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1851</v>
      </c>
      <c r="B17" s="2873" t="s">
        <v>485</v>
      </c>
      <c r="C17" s="2878">
        <f ca="1">ROUND(C13*F17,0)</f>
        <v>534</v>
      </c>
      <c r="D17" s="477"/>
      <c r="E17" s="2878"/>
      <c r="F17" s="2879">
        <f>'数据-取费表'!B36</f>
        <v>1.4999999999999999E-2</v>
      </c>
      <c r="G17" s="260" t="s">
        <v>486</v>
      </c>
      <c r="H17" s="2845"/>
      <c r="I17" s="2845"/>
      <c r="J17" s="2845"/>
      <c r="K17" s="278"/>
    </row>
    <row r="18" spans="1:14" s="2120" customFormat="1" ht="13.5" customHeight="1">
      <c r="A18" s="2880" t="s">
        <v>1852</v>
      </c>
      <c r="B18" s="2881" t="s">
        <v>487</v>
      </c>
      <c r="C18" s="2882">
        <f ca="1">SUM(C13:C17)</f>
        <v>39097</v>
      </c>
      <c r="D18" s="2883"/>
      <c r="E18" s="470"/>
      <c r="F18" s="470"/>
      <c r="G18" s="2846" t="s">
        <v>2432</v>
      </c>
      <c r="H18" s="2847"/>
      <c r="I18" s="2847"/>
      <c r="J18" s="2847"/>
      <c r="K18" s="2848"/>
    </row>
    <row r="19" spans="1:14" s="2120" customFormat="1" ht="13.5" customHeight="1">
      <c r="A19" s="2880" t="s">
        <v>1853</v>
      </c>
      <c r="B19" s="2881" t="s">
        <v>488</v>
      </c>
      <c r="C19" s="2838">
        <f ca="1">ROUND(D19*E19/10000,0)</f>
        <v>0</v>
      </c>
      <c r="D19" s="2884">
        <f ca="1">D16</f>
        <v>95241.88</v>
      </c>
      <c r="E19" s="2838">
        <f>'数据-取费表'!B32</f>
        <v>0</v>
      </c>
      <c r="F19" s="470"/>
      <c r="G19" s="2842" t="s">
        <v>489</v>
      </c>
      <c r="H19" s="2843"/>
      <c r="I19" s="2847"/>
      <c r="J19" s="2847"/>
      <c r="K19" s="2848"/>
    </row>
    <row r="20" spans="1:14" s="2120" customFormat="1" ht="13.5" customHeight="1">
      <c r="A20" s="2880" t="s">
        <v>1854</v>
      </c>
      <c r="B20" s="2881" t="s">
        <v>490</v>
      </c>
      <c r="C20" s="2838">
        <f ca="1">C21+C22-IF(B1="",'数据-取费表'!B29,IF(G20="已全部缴纳",C21+C22,H20))</f>
        <v>1905</v>
      </c>
      <c r="D20" s="2884"/>
      <c r="E20" s="2838"/>
      <c r="F20" s="2885"/>
      <c r="G20" s="3118"/>
      <c r="H20" s="2840"/>
      <c r="I20" s="2841" t="s">
        <v>2657</v>
      </c>
      <c r="J20" s="2847"/>
      <c r="K20" s="2848"/>
    </row>
    <row r="21" spans="1:14" s="2120" customFormat="1" ht="13.5" customHeight="1">
      <c r="A21" s="2872" t="s">
        <v>1855</v>
      </c>
      <c r="B21" s="2873" t="s">
        <v>491</v>
      </c>
      <c r="C21" s="53">
        <f ca="1">ROUND(D21*E21/10000,0)</f>
        <v>0</v>
      </c>
      <c r="D21" s="2874">
        <f ca="1">IF(B1="",'数据-汇总表'!E5,IF(INDIRECT("'数据-取费表'!c"&amp;$K$1)="住宅",INDIRECT("'数据-取费表'!k"&amp;$K$1),0))</f>
        <v>0</v>
      </c>
      <c r="E21" s="53">
        <f>'数据-取费表'!B27</f>
        <v>0</v>
      </c>
      <c r="F21" s="2877"/>
      <c r="G21" s="26"/>
      <c r="H21" s="51"/>
      <c r="I21" s="51"/>
      <c r="J21" s="51"/>
      <c r="K21" s="2849"/>
    </row>
    <row r="22" spans="1:14" s="2120" customFormat="1" ht="13.5" customHeight="1">
      <c r="A22" s="2872" t="s">
        <v>1856</v>
      </c>
      <c r="B22" s="2873" t="s">
        <v>492</v>
      </c>
      <c r="C22" s="53">
        <f ca="1">ROUND(D22*E22/10000,0)</f>
        <v>1905</v>
      </c>
      <c r="D22" s="2874">
        <f ca="1">IF(B1="",'数据-汇总表'!E6,IF(INDIRECT("'数据-取费表'!c"&amp;$K$1)="住宅",INDIRECT("'数据-取费表'!s"&amp;$K$1),INDIRECT("'数据-取费表'!k"&amp;$K$1)+INDIRECT("'数据-取费表'!s"&amp;$K$1)))</f>
        <v>95241.88</v>
      </c>
      <c r="E22" s="53">
        <f>'数据-取费表'!B28</f>
        <v>200</v>
      </c>
      <c r="F22" s="2877"/>
      <c r="G22" s="26"/>
      <c r="H22" s="51"/>
      <c r="I22" s="51"/>
      <c r="J22" s="51"/>
      <c r="K22" s="2849"/>
    </row>
    <row r="23" spans="1:14" s="2120" customFormat="1" ht="13.5" customHeight="1">
      <c r="A23" s="2880" t="s">
        <v>1857</v>
      </c>
      <c r="B23" s="3064" t="s">
        <v>2840</v>
      </c>
      <c r="C23" s="2882">
        <f ca="1">ROUND((C18+C19+C20)*F23,0)</f>
        <v>820</v>
      </c>
      <c r="D23" s="470"/>
      <c r="E23" s="470"/>
      <c r="F23" s="2886">
        <f>'数据-取费表'!B37</f>
        <v>0.02</v>
      </c>
      <c r="G23" s="2842" t="s">
        <v>2433</v>
      </c>
      <c r="H23" s="2843"/>
      <c r="I23" s="2843"/>
      <c r="J23" s="2843"/>
      <c r="K23" s="2844"/>
      <c r="L23" s="2122"/>
      <c r="M23" s="2122"/>
      <c r="N23" s="2122"/>
    </row>
    <row r="24" spans="1:14" s="2120" customFormat="1" ht="13.5" customHeight="1">
      <c r="A24" s="2880" t="s">
        <v>1858</v>
      </c>
      <c r="B24" s="3064" t="s">
        <v>2843</v>
      </c>
      <c r="C24" s="2882">
        <f ca="1">ROUND(C6*F24,0)</f>
        <v>4034</v>
      </c>
      <c r="D24" s="477"/>
      <c r="E24" s="475"/>
      <c r="F24" s="2886">
        <f>'数据-取费表'!B38</f>
        <v>0.02</v>
      </c>
      <c r="G24" s="2851" t="s">
        <v>499</v>
      </c>
      <c r="H24" s="2845"/>
      <c r="I24" s="2845"/>
      <c r="J24" s="2845"/>
      <c r="K24" s="278"/>
      <c r="L24" s="2122"/>
      <c r="M24" s="2122"/>
      <c r="N24" s="2122"/>
    </row>
    <row r="25" spans="1:14" s="2123" customFormat="1" ht="13.5" customHeight="1">
      <c r="A25" s="2880" t="s">
        <v>1859</v>
      </c>
      <c r="B25" s="3064" t="s">
        <v>2841</v>
      </c>
      <c r="C25" s="469">
        <f>ROUND(F25/(1+'数据-取费表'!C42),4)</f>
        <v>2.9000000000000001E-2</v>
      </c>
      <c r="D25" s="464" t="s">
        <v>2835</v>
      </c>
      <c r="E25" s="471"/>
      <c r="F25" s="2886">
        <f>'数据-取费表'!B48+'数据-取费表'!B49</f>
        <v>3.0499999999999999E-2</v>
      </c>
      <c r="G25" s="2850" t="s">
        <v>2290</v>
      </c>
      <c r="H25" s="2843"/>
      <c r="I25" s="2843"/>
      <c r="J25" s="2843"/>
      <c r="K25" s="2844"/>
    </row>
    <row r="26" spans="1:14" s="2122" customFormat="1" ht="13.5" customHeight="1">
      <c r="A26" s="2880" t="s">
        <v>1860</v>
      </c>
      <c r="B26" s="3065" t="s">
        <v>2842</v>
      </c>
      <c r="C26" s="2887">
        <f ca="1">C28</f>
        <v>2178</v>
      </c>
      <c r="D26" s="469">
        <f ca="1">C27</f>
        <v>0.10009999999999999</v>
      </c>
      <c r="E26" s="471" t="s">
        <v>495</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5" t="s">
        <v>1855</v>
      </c>
      <c r="B27" s="2888" t="s">
        <v>496</v>
      </c>
      <c r="C27" s="2889">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5"/>
      <c r="I27" s="2845"/>
      <c r="J27" s="2845"/>
      <c r="K27" s="278"/>
    </row>
    <row r="28" spans="1:14" s="2124" customFormat="1" ht="13.5" customHeight="1">
      <c r="A28" s="805" t="s">
        <v>1856</v>
      </c>
      <c r="B28" s="2888" t="s">
        <v>2844</v>
      </c>
      <c r="C28" s="2890">
        <f ca="1">ROUND(IF('数据-取费表'!B22&lt;=1,(C18+C19+C20+C23+C24)*F26*'数据-取费表'!B24/2,(C18+C19+C20+C23+C24)*(POWER((1+F26),'数据-取费表'!B24/2)-1)),0)</f>
        <v>2178</v>
      </c>
      <c r="D28" s="474"/>
      <c r="E28" s="475"/>
      <c r="F28" s="476"/>
      <c r="G28" s="2600" t="str">
        <f>IF('数据-取费表'!B22&lt;=1,"（1）-（4）项×年利率×建设期÷2","（1）-（4）项×((1+年利率)^(建设期÷2)-1)")</f>
        <v>（1）-（4）项×((1+年利率)^(建设期÷2)-1)</v>
      </c>
      <c r="H28" s="2845"/>
      <c r="I28" s="2845"/>
      <c r="J28" s="2845"/>
      <c r="K28" s="278"/>
    </row>
    <row r="29" spans="1:14" s="2124" customFormat="1" ht="13.5" customHeight="1">
      <c r="A29" s="2891" t="s">
        <v>1861</v>
      </c>
      <c r="B29" s="2881" t="s">
        <v>497</v>
      </c>
      <c r="C29" s="2882">
        <f ca="1">ROUND(C6*F29/(1+'数据-取费表'!C42),0)</f>
        <v>10566</v>
      </c>
      <c r="D29" s="470"/>
      <c r="E29" s="470"/>
      <c r="F29" s="3066">
        <f>'数据-取费表'!B41</f>
        <v>5.5000000000000007E-2</v>
      </c>
      <c r="G29" s="2851" t="s">
        <v>498</v>
      </c>
      <c r="H29" s="2843"/>
      <c r="I29" s="2843"/>
      <c r="J29" s="2843"/>
      <c r="K29" s="2844"/>
    </row>
    <row r="30" spans="1:14" s="2125" customFormat="1" ht="13.5" customHeight="1">
      <c r="A30" s="1638" t="s">
        <v>1862</v>
      </c>
      <c r="B30" s="2892" t="s">
        <v>500</v>
      </c>
      <c r="C30" s="2887">
        <f ca="1">C31</f>
        <v>58600</v>
      </c>
      <c r="D30" s="479">
        <f ca="1">C32</f>
        <v>0.12909999999999999</v>
      </c>
      <c r="E30" s="471" t="s">
        <v>495</v>
      </c>
      <c r="F30" s="473"/>
      <c r="G30" s="2842" t="s">
        <v>501</v>
      </c>
      <c r="H30" s="2843"/>
      <c r="I30" s="2843"/>
      <c r="J30" s="2843"/>
      <c r="K30" s="2844"/>
    </row>
    <row r="31" spans="1:14" s="2124" customFormat="1" ht="13.5" customHeight="1">
      <c r="A31" s="805" t="s">
        <v>1855</v>
      </c>
      <c r="B31" s="2888"/>
      <c r="C31" s="452">
        <f ca="1">C18+C19+C20+C23+C24+C26+C29</f>
        <v>58600</v>
      </c>
      <c r="D31" s="474"/>
      <c r="E31" s="475"/>
      <c r="F31" s="476"/>
      <c r="G31" s="260"/>
      <c r="H31" s="2845"/>
      <c r="I31" s="2845"/>
      <c r="J31" s="2845"/>
      <c r="K31" s="278"/>
    </row>
    <row r="32" spans="1:14" s="2124" customFormat="1" ht="13.5" customHeight="1">
      <c r="A32" s="805" t="s">
        <v>1856</v>
      </c>
      <c r="B32" s="2888"/>
      <c r="C32" s="53">
        <f ca="1">ROUND(C25+D26,4)</f>
        <v>0.12909999999999999</v>
      </c>
      <c r="D32" s="474"/>
      <c r="E32" s="475"/>
      <c r="F32" s="476"/>
      <c r="G32" s="260"/>
      <c r="H32" s="2845"/>
      <c r="I32" s="2845"/>
      <c r="J32" s="2845"/>
      <c r="K32" s="278"/>
    </row>
    <row r="33" spans="1:11" s="2126" customFormat="1" ht="13.5" customHeight="1">
      <c r="A33" s="3063" t="s">
        <v>2839</v>
      </c>
      <c r="B33" s="3061" t="s">
        <v>2837</v>
      </c>
      <c r="C33" s="480">
        <f ca="1">C35</f>
        <v>9630</v>
      </c>
      <c r="D33" s="469">
        <f ca="1">C34</f>
        <v>0.21609999999999999</v>
      </c>
      <c r="E33" s="471" t="s">
        <v>495</v>
      </c>
      <c r="F33" s="481">
        <f ca="1">IF(B1="",'数据-取费表'!Q16,INDIRECT("'数据-取费表'!q"&amp;$K$1))</f>
        <v>0.21</v>
      </c>
      <c r="G33" s="2846"/>
      <c r="H33" s="2847"/>
      <c r="I33" s="2847"/>
      <c r="J33" s="2847"/>
      <c r="K33" s="2848"/>
    </row>
    <row r="34" spans="1:11" s="2127" customFormat="1" ht="13.5" customHeight="1">
      <c r="A34" s="377" t="s">
        <v>1855</v>
      </c>
      <c r="B34" s="2893" t="s">
        <v>502</v>
      </c>
      <c r="C34" s="474">
        <f ca="1">ROUND((1+C25)*F33,4)</f>
        <v>0.21609999999999999</v>
      </c>
      <c r="D34" s="474"/>
      <c r="E34" s="475"/>
      <c r="F34" s="482"/>
      <c r="G34" s="260" t="s">
        <v>2291</v>
      </c>
      <c r="H34" s="2845"/>
      <c r="I34" s="2845"/>
      <c r="J34" s="2845"/>
      <c r="K34" s="278"/>
    </row>
    <row r="35" spans="1:11" s="2127" customFormat="1" ht="13.5" customHeight="1" thickBot="1">
      <c r="A35" s="1639" t="s">
        <v>1856</v>
      </c>
      <c r="B35" s="3062" t="s">
        <v>2845</v>
      </c>
      <c r="C35" s="1631">
        <f ca="1">ROUND((C18+C19+C20+C23+C24)*F33,0)</f>
        <v>9630</v>
      </c>
      <c r="D35" s="1632"/>
      <c r="E35" s="2894"/>
      <c r="F35" s="1633"/>
      <c r="G35" s="2852"/>
      <c r="H35" s="2853"/>
      <c r="I35" s="2853"/>
      <c r="J35" s="2853"/>
      <c r="K35" s="2854"/>
    </row>
    <row r="36" spans="1:11" s="2089" customFormat="1" ht="13.5" customHeight="1" thickBot="1">
      <c r="A36" s="283" t="s">
        <v>1843</v>
      </c>
      <c r="B36" s="2856"/>
      <c r="C36" s="2895">
        <f ca="1">ROUND((C6-C30-C33)/(1+D30+D33),0)</f>
        <v>99229</v>
      </c>
      <c r="D36" s="2856"/>
      <c r="E36" s="2856"/>
      <c r="F36" s="2856"/>
      <c r="G36" s="2855" t="s">
        <v>2846</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3" t="s">
        <v>466</v>
      </c>
      <c r="B1" s="2839"/>
      <c r="C1" s="2108"/>
      <c r="D1" s="2108"/>
      <c r="E1" s="2108"/>
      <c r="F1" s="2108"/>
      <c r="G1" s="2108"/>
      <c r="H1" s="2108"/>
      <c r="I1" s="2108"/>
      <c r="J1" s="2108"/>
      <c r="K1" s="424">
        <f>MATCH(B1,'数据-取费表'!A6:A16,0)+5</f>
        <v>9</v>
      </c>
    </row>
    <row r="2" spans="1:41" s="2045" customFormat="1" ht="18" customHeight="1">
      <c r="A2" s="425" t="s">
        <v>467</v>
      </c>
      <c r="B2" s="426">
        <f ca="1">C32</f>
        <v>0</v>
      </c>
      <c r="C2" s="2108"/>
      <c r="D2" s="2108"/>
      <c r="E2" s="2108"/>
      <c r="F2" s="2108"/>
      <c r="G2" s="2108"/>
      <c r="H2" s="2108"/>
      <c r="I2" s="2108"/>
      <c r="J2" s="2108"/>
      <c r="K2" s="2108"/>
    </row>
    <row r="3" spans="1:41" s="2045" customFormat="1" ht="18" customHeight="1">
      <c r="A3" s="1382" t="s">
        <v>1683</v>
      </c>
      <c r="B3" s="427">
        <f ca="1">ROUND(B2*10000/IF(B1="",'数据-汇总表'!E3,INDIRECT("'数据-取费表'!K"&amp;$K$1)),0)</f>
        <v>0</v>
      </c>
      <c r="C3" s="2108"/>
      <c r="D3" s="2108"/>
      <c r="E3" s="2108"/>
      <c r="F3" s="2108"/>
      <c r="G3" s="2108"/>
      <c r="H3" s="2108"/>
      <c r="I3" s="2108"/>
      <c r="J3" s="2108"/>
      <c r="K3" s="2108"/>
    </row>
    <row r="4" spans="1:41" s="2045" customFormat="1" ht="18" customHeight="1">
      <c r="A4" s="428" t="s">
        <v>468</v>
      </c>
      <c r="B4" s="429">
        <f ca="1">ROUND(B2*10000/IF(B1="",'数据-汇总表'!D3,INDIRECT("'数据-取费表'!R"&amp;$K$1)),0)</f>
        <v>0</v>
      </c>
      <c r="C4" s="2065"/>
      <c r="D4" s="2108"/>
      <c r="E4" s="2108"/>
      <c r="F4" s="2108"/>
      <c r="G4" s="2108"/>
      <c r="H4" s="2108"/>
      <c r="I4" s="2108"/>
      <c r="J4" s="2108"/>
      <c r="K4" s="2108"/>
    </row>
    <row r="5" spans="1:41" s="2045" customFormat="1" ht="18" customHeight="1" thickBot="1">
      <c r="A5" s="431"/>
      <c r="B5" s="432">
        <f ca="1">ROUND(B2/(IF(B1="",'数据-汇总表'!D3,INDIRECT("'数据-取费表'!R"&amp;$K$1))/666.67),0)</f>
        <v>0</v>
      </c>
      <c r="C5" s="433" t="s">
        <v>469</v>
      </c>
      <c r="D5" s="2108"/>
      <c r="E5" s="2108"/>
      <c r="F5" s="2108"/>
      <c r="G5" s="2108"/>
      <c r="H5" s="2108"/>
      <c r="I5" s="2108"/>
      <c r="J5" s="2108"/>
      <c r="K5" s="2108"/>
    </row>
    <row r="6" spans="1:41" s="2115" customFormat="1" ht="16.5" customHeight="1">
      <c r="A6" s="434" t="s">
        <v>2658</v>
      </c>
      <c r="B6" s="435"/>
      <c r="C6" s="1626">
        <f>SUM(C10:K10)</f>
        <v>0</v>
      </c>
      <c r="D6" s="2113"/>
      <c r="E6" s="2113"/>
      <c r="F6" s="2113"/>
      <c r="G6" s="2113"/>
      <c r="H6" s="2113"/>
      <c r="I6" s="2113"/>
      <c r="J6" s="2113"/>
      <c r="K6" s="2114"/>
    </row>
    <row r="7" spans="1:41" s="2117" customFormat="1" ht="15">
      <c r="A7" s="436" t="s">
        <v>470</v>
      </c>
      <c r="B7" s="437" t="s">
        <v>471</v>
      </c>
      <c r="C7" s="438"/>
      <c r="D7" s="438"/>
      <c r="E7" s="438"/>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1844</v>
      </c>
      <c r="B8" s="440" t="s">
        <v>472</v>
      </c>
      <c r="C8" s="441"/>
      <c r="D8" s="441"/>
      <c r="E8" s="441"/>
      <c r="F8" s="441"/>
      <c r="G8" s="441"/>
      <c r="H8" s="441"/>
      <c r="I8" s="441"/>
      <c r="J8" s="441"/>
      <c r="K8" s="442"/>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1845</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1846</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1863</v>
      </c>
      <c r="B11" s="1624"/>
      <c r="C11" s="1624"/>
      <c r="D11" s="1624"/>
      <c r="E11" s="1624"/>
      <c r="F11" s="1624"/>
      <c r="G11" s="1624"/>
      <c r="H11" s="1624"/>
      <c r="I11" s="1624"/>
      <c r="J11" s="1624"/>
      <c r="K11" s="1625"/>
    </row>
    <row r="12" spans="1:41" s="2089" customFormat="1" ht="13.5" customHeight="1">
      <c r="A12" s="436" t="s">
        <v>470</v>
      </c>
      <c r="B12" s="446" t="s">
        <v>471</v>
      </c>
      <c r="C12" s="447" t="s">
        <v>475</v>
      </c>
      <c r="D12" s="448" t="s">
        <v>476</v>
      </c>
      <c r="E12" s="448" t="s">
        <v>477</v>
      </c>
      <c r="F12" s="448" t="s">
        <v>478</v>
      </c>
      <c r="G12" s="446"/>
      <c r="H12" s="449"/>
      <c r="I12" s="449"/>
      <c r="J12" s="449"/>
      <c r="K12" s="450"/>
    </row>
    <row r="13" spans="1:41" s="2120" customFormat="1" ht="13.5" customHeight="1">
      <c r="A13" s="1636" t="s">
        <v>1847</v>
      </c>
      <c r="B13" s="451" t="s">
        <v>479</v>
      </c>
      <c r="C13" s="452">
        <f ca="1">IF(B1="",'数据-取费表'!M16,INDIRECT("'数据-取费表'!M"&amp;$K$1)+INDIRECT("'数据-取费表'!t"&amp;$K$1))</f>
        <v>35590</v>
      </c>
      <c r="D13" s="453"/>
      <c r="E13" s="367"/>
      <c r="F13" s="454"/>
      <c r="G13" s="446"/>
      <c r="H13" s="449"/>
      <c r="I13" s="449"/>
      <c r="J13" s="449"/>
      <c r="K13" s="450"/>
    </row>
    <row r="14" spans="1:41" s="2120" customFormat="1" ht="13.5" customHeight="1">
      <c r="A14" s="1636" t="s">
        <v>1848</v>
      </c>
      <c r="B14" s="451" t="s">
        <v>480</v>
      </c>
      <c r="C14" s="53">
        <f ca="1">ROUND(C13*F14,0)</f>
        <v>1068</v>
      </c>
      <c r="D14" s="453"/>
      <c r="E14" s="367"/>
      <c r="F14" s="455">
        <f>'数据-取费表'!B33</f>
        <v>0.03</v>
      </c>
      <c r="G14" s="446" t="s">
        <v>503</v>
      </c>
      <c r="H14" s="449"/>
      <c r="I14" s="449"/>
      <c r="J14" s="449"/>
      <c r="K14" s="450"/>
    </row>
    <row r="15" spans="1:41" s="2120" customFormat="1" ht="13.5" customHeight="1">
      <c r="A15" s="1636" t="s">
        <v>1849</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1" customFormat="1" ht="13.5" customHeight="1">
      <c r="A16" s="1636" t="s">
        <v>1850</v>
      </c>
      <c r="B16" s="451" t="s">
        <v>484</v>
      </c>
      <c r="C16" s="53">
        <f ca="1">ROUND(D16*E16/10000,0)</f>
        <v>1905</v>
      </c>
      <c r="D16" s="453">
        <f ca="1">IF(B1="",'数据-汇总表'!E3,INDIRECT("'数据-取费表'!K"&amp;$K$1)+INDIRECT("'数据-取费表'!S"&amp;$K$1))</f>
        <v>95241.88</v>
      </c>
      <c r="E16" s="53">
        <f>'数据-取费表'!B35</f>
        <v>200</v>
      </c>
      <c r="F16" s="455"/>
      <c r="G16" s="446"/>
      <c r="H16" s="449"/>
      <c r="I16" s="449"/>
      <c r="J16" s="449"/>
      <c r="K16" s="45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1851</v>
      </c>
      <c r="B17" s="451" t="s">
        <v>485</v>
      </c>
      <c r="C17" s="456">
        <f ca="1">ROUND(C13*F17,0)</f>
        <v>534</v>
      </c>
      <c r="D17" s="457"/>
      <c r="E17" s="456"/>
      <c r="F17" s="458">
        <f>'数据-取费表'!B36</f>
        <v>1.4999999999999999E-2</v>
      </c>
      <c r="G17" s="446" t="s">
        <v>503</v>
      </c>
      <c r="H17" s="459"/>
      <c r="I17" s="459"/>
      <c r="J17" s="459"/>
      <c r="K17" s="460"/>
    </row>
    <row r="18" spans="1:14" s="2123" customFormat="1" ht="13.5" customHeight="1">
      <c r="A18" s="1637" t="s">
        <v>1852</v>
      </c>
      <c r="B18" s="461" t="s">
        <v>487</v>
      </c>
      <c r="C18" s="462">
        <f ca="1">SUM(C13:C17)</f>
        <v>39097</v>
      </c>
      <c r="D18" s="463"/>
      <c r="E18" s="464"/>
      <c r="F18" s="464"/>
      <c r="G18" s="1329" t="s">
        <v>2434</v>
      </c>
      <c r="H18" s="449"/>
      <c r="I18" s="449"/>
      <c r="J18" s="449"/>
      <c r="K18" s="450"/>
    </row>
    <row r="19" spans="1:14" s="2123" customFormat="1" ht="13.5" customHeight="1">
      <c r="A19" s="1637" t="s">
        <v>1853</v>
      </c>
      <c r="B19" s="461" t="s">
        <v>493</v>
      </c>
      <c r="C19" s="462">
        <f ca="1">ROUND(C18*F19,0)</f>
        <v>782</v>
      </c>
      <c r="D19" s="464"/>
      <c r="E19" s="464"/>
      <c r="F19" s="468">
        <f>'数据-取费表'!B37</f>
        <v>0.02</v>
      </c>
      <c r="G19" s="446" t="s">
        <v>504</v>
      </c>
      <c r="H19" s="449"/>
      <c r="I19" s="449"/>
      <c r="J19" s="449"/>
      <c r="K19" s="450"/>
      <c r="L19" s="2125"/>
      <c r="M19" s="2125"/>
      <c r="N19" s="2125"/>
    </row>
    <row r="20" spans="1:14" s="2123" customFormat="1" ht="13.5" customHeight="1">
      <c r="A20" s="1637" t="s">
        <v>1854</v>
      </c>
      <c r="B20" s="461" t="s">
        <v>505</v>
      </c>
      <c r="C20" s="3059">
        <f>F20</f>
        <v>0.02</v>
      </c>
      <c r="D20" s="471" t="s">
        <v>506</v>
      </c>
      <c r="E20" s="471"/>
      <c r="F20" s="488">
        <f>'数据-取费表'!B38</f>
        <v>0.02</v>
      </c>
      <c r="G20" s="1329" t="s">
        <v>507</v>
      </c>
      <c r="H20" s="449"/>
      <c r="I20" s="449"/>
      <c r="J20" s="449"/>
      <c r="K20" s="450"/>
      <c r="L20" s="2125"/>
      <c r="M20" s="2125"/>
      <c r="N20" s="2125"/>
    </row>
    <row r="21" spans="1:14" s="2125" customFormat="1" ht="13.5" customHeight="1">
      <c r="A21" s="1637" t="s">
        <v>1857</v>
      </c>
      <c r="B21" s="463" t="s">
        <v>494</v>
      </c>
      <c r="C21" s="472">
        <f ca="1">C22</f>
        <v>1894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2" t="s">
        <v>2456</v>
      </c>
    </row>
    <row r="22" spans="1:14" s="2124" customFormat="1" ht="13.5" customHeight="1">
      <c r="A22" s="1636" t="s">
        <v>1847</v>
      </c>
      <c r="B22" s="1330" t="s">
        <v>2437</v>
      </c>
      <c r="C22" s="489">
        <f ca="1">ROUND(IF('数据-取费表'!B22&lt;=1,(C18+C19)*F21*'数据-取费表'!B20/2,(C18+C19)*(POWER((1+F21),'数据-取费表'!B20/2)-1)),0)</f>
        <v>1894</v>
      </c>
      <c r="D22" s="474"/>
      <c r="E22" s="475"/>
      <c r="F22" s="476"/>
      <c r="G22" s="2595" t="str">
        <f>IF('数据-取费表'!B22&lt;=1,"((1)+(2))×年利率×建设期÷2","((1)+(2))×((1+年利率)^(建设期÷2)-1)")</f>
        <v>((1)+(2))×((1+年利率)^(建设期÷2)-1)</v>
      </c>
      <c r="H22" s="459"/>
      <c r="I22" s="459"/>
      <c r="J22" s="459"/>
      <c r="K22" s="460"/>
    </row>
    <row r="23" spans="1:14" s="2124" customFormat="1" ht="13.5" customHeight="1">
      <c r="A23" s="1636" t="s">
        <v>1848</v>
      </c>
      <c r="B23" s="1330" t="s">
        <v>509</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4" customFormat="1" ht="13.5" customHeight="1">
      <c r="A24" s="1637" t="s">
        <v>1858</v>
      </c>
      <c r="B24" s="3061" t="s">
        <v>2838</v>
      </c>
      <c r="C24" s="480">
        <f ca="1">C25</f>
        <v>8375</v>
      </c>
      <c r="D24" s="491">
        <f ca="1">C26</f>
        <v>4.1999999999999997E-3</v>
      </c>
      <c r="E24" s="471" t="s">
        <v>508</v>
      </c>
      <c r="F24" s="481">
        <f ca="1">IF(B1="",'数据-取费表'!Q16,INDIRECT("'数据-取费表'!q"&amp;$K$1))</f>
        <v>0.21</v>
      </c>
      <c r="G24" s="446"/>
      <c r="H24" s="449"/>
      <c r="I24" s="449"/>
      <c r="J24" s="449"/>
      <c r="K24" s="450"/>
    </row>
    <row r="25" spans="1:14" s="2124" customFormat="1" ht="13.5" customHeight="1">
      <c r="A25" s="1636" t="s">
        <v>1847</v>
      </c>
      <c r="B25" s="1330" t="s">
        <v>2438</v>
      </c>
      <c r="C25" s="492">
        <f ca="1">ROUND((C18+C19)*F24,0)</f>
        <v>8375</v>
      </c>
      <c r="D25" s="474"/>
      <c r="E25" s="475"/>
      <c r="F25" s="482"/>
      <c r="G25" s="1328" t="s">
        <v>2435</v>
      </c>
      <c r="H25" s="459"/>
      <c r="I25" s="459"/>
      <c r="J25" s="459"/>
      <c r="K25" s="460"/>
    </row>
    <row r="26" spans="1:14" s="2124" customFormat="1" ht="13.5" customHeight="1">
      <c r="A26" s="1636" t="s">
        <v>1848</v>
      </c>
      <c r="B26" s="1330" t="s">
        <v>510</v>
      </c>
      <c r="C26" s="493">
        <f ca="1">ROUND(F20*F24,4)</f>
        <v>4.1999999999999997E-3</v>
      </c>
      <c r="D26" s="474"/>
      <c r="E26" s="483"/>
      <c r="F26" s="482"/>
      <c r="G26" s="1328" t="s">
        <v>511</v>
      </c>
      <c r="H26" s="459"/>
      <c r="I26" s="459"/>
      <c r="J26" s="459"/>
      <c r="K26" s="460"/>
    </row>
    <row r="27" spans="1:14" s="2124" customFormat="1" ht="13.5" customHeight="1">
      <c r="A27" s="1640" t="s">
        <v>1866</v>
      </c>
      <c r="B27" s="461" t="s">
        <v>512</v>
      </c>
      <c r="C27" s="3060">
        <f>ROUND(F27/(1+'数据-取费表'!C42),4)</f>
        <v>5.2400000000000002E-2</v>
      </c>
      <c r="D27" s="464" t="s">
        <v>2836</v>
      </c>
      <c r="E27" s="464"/>
      <c r="F27" s="468">
        <f>'数据-取费表'!B41</f>
        <v>5.5000000000000007E-2</v>
      </c>
      <c r="G27" s="1964" t="s">
        <v>2292</v>
      </c>
      <c r="H27" s="449"/>
      <c r="I27" s="449"/>
      <c r="J27" s="449"/>
      <c r="K27" s="450"/>
    </row>
    <row r="28" spans="1:14" s="2125" customFormat="1" ht="13.5" customHeight="1">
      <c r="A28" s="1640" t="s">
        <v>1867</v>
      </c>
      <c r="B28" s="478" t="s">
        <v>513</v>
      </c>
      <c r="C28" s="472">
        <f ca="1">ROUND((C18+C19+C21+C24)/(1-C20-D21-D24-C27),0)</f>
        <v>54367</v>
      </c>
      <c r="D28" s="479"/>
      <c r="E28" s="471"/>
      <c r="F28" s="473"/>
      <c r="G28" s="1329" t="s">
        <v>2436</v>
      </c>
      <c r="H28" s="449"/>
      <c r="I28" s="449"/>
      <c r="J28" s="449"/>
      <c r="K28" s="450"/>
    </row>
    <row r="29" spans="1:14" s="2125" customFormat="1" ht="13.5" customHeight="1">
      <c r="A29" s="1640" t="s">
        <v>1868</v>
      </c>
      <c r="B29" s="478" t="s">
        <v>514</v>
      </c>
      <c r="C29" s="494">
        <f ca="1">IF(B1="",'数据-取费表'!N16,INDIRECT("'数据-取费表'!N"&amp;$K$1))</f>
        <v>0</v>
      </c>
      <c r="D29" s="495"/>
      <c r="E29" s="496"/>
      <c r="F29" s="497"/>
      <c r="G29" s="446"/>
      <c r="H29" s="449"/>
      <c r="I29" s="449"/>
      <c r="J29" s="449"/>
      <c r="K29" s="450"/>
    </row>
    <row r="30" spans="1:14" s="2125" customFormat="1" ht="13.5" customHeight="1">
      <c r="A30" s="445">
        <v>2</v>
      </c>
      <c r="B30" s="478" t="s">
        <v>515</v>
      </c>
      <c r="C30" s="499">
        <f ca="1">ROUND(C28*C29,0)</f>
        <v>0</v>
      </c>
      <c r="D30" s="495"/>
      <c r="E30" s="500"/>
      <c r="F30" s="501"/>
      <c r="G30" s="1331" t="s">
        <v>516</v>
      </c>
      <c r="H30" s="498"/>
      <c r="I30" s="498"/>
      <c r="J30" s="449"/>
      <c r="K30" s="450"/>
    </row>
    <row r="31" spans="1:14" s="2130" customFormat="1" ht="13.5" customHeight="1">
      <c r="A31" s="2510" t="s">
        <v>1864</v>
      </c>
      <c r="B31" s="1332"/>
      <c r="C31" s="502">
        <f>ROUND(C6*F31/(1+'数据-取费表'!C42),0)</f>
        <v>0</v>
      </c>
      <c r="D31" s="1333"/>
      <c r="E31" s="1333"/>
      <c r="F31" s="503">
        <f>'数据-取费表'!B41</f>
        <v>5.5000000000000007E-2</v>
      </c>
      <c r="G31" s="1334"/>
      <c r="H31" s="1334"/>
      <c r="I31" s="1334"/>
      <c r="J31" s="1335"/>
      <c r="K31" s="1336"/>
    </row>
    <row r="32" spans="1:14" s="2089" customFormat="1" ht="13.5" customHeight="1" thickBot="1">
      <c r="A32" s="484" t="s">
        <v>1865</v>
      </c>
      <c r="B32" s="485"/>
      <c r="C32" s="486">
        <f ca="1">IF('数据-取费表'!B20&lt;=1,(C6-C30-C31)/(1+F21*'数据-取费表'!B20+F24)/(1+'数据-取费表'!B48+'数据-取费表'!B49),(C6-C30-C31)/(1+(POWER((1+F21),'数据-取费表'!B20)-1)+F24)/(1+'数据-取费表'!B48+'数据-取费表'!B49))</f>
        <v>0</v>
      </c>
      <c r="D32" s="485"/>
      <c r="E32" s="485"/>
      <c r="F32" s="485"/>
      <c r="G32" s="2511" t="s">
        <v>2457</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E60" sqref="E60"/>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7"/>
    </row>
    <row r="2" spans="1:30" s="1338" customFormat="1" ht="28.5" customHeight="1">
      <c r="A2" s="425" t="s">
        <v>467</v>
      </c>
      <c r="B2" s="510">
        <f>F68</f>
        <v>94428</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7"/>
    </row>
    <row r="3" spans="1:30" s="1338" customFormat="1" ht="28.5" customHeight="1">
      <c r="A3" s="1382" t="s">
        <v>1683</v>
      </c>
      <c r="B3" s="512">
        <f>ROUND(B2*10000/'数据-汇总表'!E3,0)</f>
        <v>9915</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30" s="1338" customFormat="1" ht="28.5" customHeight="1">
      <c r="A4" s="513" t="s">
        <v>521</v>
      </c>
      <c r="B4" s="429">
        <f>IF(B48="单位面积地价",C50,ROUND(B2*10000/'数据-汇总表'!D3,0))</f>
        <v>99162</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30" s="1338" customFormat="1" ht="28.5" customHeight="1" thickBot="1">
      <c r="A5" s="431"/>
      <c r="B5" s="432">
        <f>ROUND(B2/('数据-汇总表'!D3/666.67),0)</f>
        <v>6611</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0"/>
    </row>
    <row r="6" spans="1:30" ht="20.25">
      <c r="A6" s="514" t="s">
        <v>522</v>
      </c>
      <c r="B6" s="515"/>
      <c r="C6" s="3366" t="s">
        <v>523</v>
      </c>
      <c r="D6" s="3367"/>
      <c r="E6" s="3366" t="s">
        <v>524</v>
      </c>
      <c r="F6" s="3367"/>
      <c r="G6" s="3366" t="s">
        <v>525</v>
      </c>
      <c r="H6" s="3367"/>
      <c r="I6" s="3366" t="s">
        <v>526</v>
      </c>
      <c r="J6" s="3367"/>
      <c r="K6" s="516" t="s">
        <v>527</v>
      </c>
      <c r="L6" s="2137"/>
      <c r="M6" s="2136"/>
      <c r="N6" s="2136"/>
      <c r="O6" s="2138"/>
      <c r="P6" s="3368" t="s">
        <v>528</v>
      </c>
      <c r="Q6" s="3369"/>
      <c r="R6" s="3374" t="s">
        <v>524</v>
      </c>
      <c r="S6" s="3375"/>
      <c r="T6" s="3374" t="s">
        <v>525</v>
      </c>
      <c r="U6" s="3375"/>
      <c r="V6" s="3361" t="s">
        <v>526</v>
      </c>
      <c r="W6" s="3361"/>
      <c r="X6" s="1570"/>
      <c r="Y6" s="3374" t="s">
        <v>528</v>
      </c>
      <c r="Z6" s="3375"/>
      <c r="AA6" s="3363" t="s">
        <v>524</v>
      </c>
      <c r="AB6" s="3364" t="s">
        <v>525</v>
      </c>
      <c r="AC6" s="3363" t="s">
        <v>526</v>
      </c>
    </row>
    <row r="7" spans="1:30" ht="20.25">
      <c r="A7" s="517"/>
      <c r="B7" s="518"/>
      <c r="C7" s="3382" t="s">
        <v>2936</v>
      </c>
      <c r="D7" s="3383"/>
      <c r="E7" s="3382" t="str">
        <f>土地案例!A11</f>
        <v>通州区运河核心区Ⅸ-06地块F3其它类多功能用地</v>
      </c>
      <c r="F7" s="3383"/>
      <c r="G7" s="3382" t="str">
        <f>土地案例!A14</f>
        <v>通州区运河核心区Ⅸ-07地块F3其它类多功能用地</v>
      </c>
      <c r="H7" s="3383"/>
      <c r="I7" s="3382" t="str">
        <f>土地案例!A16</f>
        <v>通州区运河核心区Ⅸ-05地块F3其它类多功能用地</v>
      </c>
      <c r="J7" s="3383"/>
      <c r="K7" s="516"/>
      <c r="L7" s="2137"/>
      <c r="M7" s="2136"/>
      <c r="N7" s="2136"/>
      <c r="O7" s="2138"/>
      <c r="P7" s="3370"/>
      <c r="Q7" s="3371"/>
      <c r="R7" s="3376"/>
      <c r="S7" s="3377"/>
      <c r="T7" s="3376"/>
      <c r="U7" s="3377"/>
      <c r="V7" s="3361"/>
      <c r="W7" s="3361"/>
      <c r="X7" s="1570"/>
      <c r="Y7" s="3376"/>
      <c r="Z7" s="3377"/>
      <c r="AA7" s="3364"/>
      <c r="AB7" s="3364"/>
      <c r="AC7" s="3364"/>
    </row>
    <row r="8" spans="1:30" ht="21" thickBot="1">
      <c r="A8" s="517"/>
      <c r="B8" s="518"/>
      <c r="C8" s="3384" t="s">
        <v>2940</v>
      </c>
      <c r="D8" s="3385"/>
      <c r="E8" s="3384" t="s">
        <v>2940</v>
      </c>
      <c r="F8" s="3385"/>
      <c r="G8" s="3380" t="s">
        <v>2940</v>
      </c>
      <c r="H8" s="3381"/>
      <c r="I8" s="3380" t="s">
        <v>2940</v>
      </c>
      <c r="J8" s="3381"/>
      <c r="K8" s="516" t="s">
        <v>529</v>
      </c>
      <c r="L8" s="2137"/>
      <c r="M8" s="2136"/>
      <c r="N8" s="2136"/>
      <c r="O8" s="2138"/>
      <c r="P8" s="3372"/>
      <c r="Q8" s="3373"/>
      <c r="R8" s="3376"/>
      <c r="S8" s="3377"/>
      <c r="T8" s="3378"/>
      <c r="U8" s="3379"/>
      <c r="V8" s="3361"/>
      <c r="W8" s="3361"/>
      <c r="X8" s="1570"/>
      <c r="Y8" s="3378"/>
      <c r="Z8" s="3379"/>
      <c r="AA8" s="3365"/>
      <c r="AB8" s="3365"/>
      <c r="AC8" s="3365"/>
    </row>
    <row r="9" spans="1:30" s="1222" customFormat="1" ht="21" thickBot="1">
      <c r="A9" s="2942"/>
      <c r="B9" s="2949" t="s">
        <v>530</v>
      </c>
      <c r="C9" s="2941">
        <f>'数据-取费表'!B2</f>
        <v>43032</v>
      </c>
      <c r="D9" s="522">
        <v>100</v>
      </c>
      <c r="E9" s="523" t="str">
        <f>土地案例!I11</f>
        <v>2014-05-06</v>
      </c>
      <c r="F9" s="524">
        <f>SUMIF(72:72,YEAR(E9)&amp;"-"&amp;INT((MONTH(E9)+2)/3),73:73)</f>
        <v>93</v>
      </c>
      <c r="G9" s="525" t="str">
        <f>土地案例!I14</f>
        <v>2014-04-04</v>
      </c>
      <c r="H9" s="522">
        <f>SUMIF(72:72,YEAR(G9)&amp;"-"&amp;INT((MONTH(G9)+2)/3),73:73)</f>
        <v>93</v>
      </c>
      <c r="I9" s="525" t="str">
        <f>土地案例!I16</f>
        <v>2014-02-24</v>
      </c>
      <c r="J9" s="522">
        <f>SUMIF(72:72,YEAR(I9)&amp;"-"&amp;INT((MONTH(I9)+2)/3),73:73)</f>
        <v>92.5</v>
      </c>
      <c r="K9" s="526"/>
      <c r="L9" s="2139"/>
      <c r="M9" s="2136"/>
      <c r="N9" s="2136"/>
      <c r="O9" s="2140"/>
      <c r="P9" s="3391" t="s">
        <v>531</v>
      </c>
      <c r="Q9" s="3393"/>
      <c r="R9" s="1571" t="s">
        <v>8</v>
      </c>
      <c r="S9" s="1572">
        <f t="shared" ref="S9:S17" si="0">F9</f>
        <v>93</v>
      </c>
      <c r="T9" s="1571" t="s">
        <v>8</v>
      </c>
      <c r="U9" s="1572">
        <f t="shared" ref="U9:U17" si="1">H9</f>
        <v>93</v>
      </c>
      <c r="V9" s="1571" t="s">
        <v>8</v>
      </c>
      <c r="W9" s="1572">
        <f t="shared" ref="W9:W17" si="2">J9</f>
        <v>92.5</v>
      </c>
      <c r="X9" s="1573"/>
      <c r="Y9" s="3391" t="s">
        <v>531</v>
      </c>
      <c r="Z9" s="3392"/>
      <c r="AA9" s="1574">
        <f>D9/F9</f>
        <v>1.075268817204301</v>
      </c>
      <c r="AB9" s="1574">
        <f>D9/H9</f>
        <v>1.075268817204301</v>
      </c>
      <c r="AC9" s="1574">
        <f>D9/J9</f>
        <v>1.0810810810810811</v>
      </c>
    </row>
    <row r="10" spans="1:30" s="1222" customFormat="1" ht="21" thickBot="1">
      <c r="A10" s="2943"/>
      <c r="B10" s="2950" t="s">
        <v>532</v>
      </c>
      <c r="C10" s="858" t="s">
        <v>533</v>
      </c>
      <c r="D10" s="522">
        <v>100</v>
      </c>
      <c r="E10" s="527" t="s">
        <v>3094</v>
      </c>
      <c r="F10" s="524">
        <f>SUMIF(75:75,E10,76:76)-SUMIF(75:75,C10,76:76)+100</f>
        <v>100</v>
      </c>
      <c r="G10" s="527" t="s">
        <v>3094</v>
      </c>
      <c r="H10" s="522">
        <f>SUMIF(75:75,G10,76:76)-SUMIF(75:75,C10,76:76)+100</f>
        <v>100</v>
      </c>
      <c r="I10" s="527" t="s">
        <v>3094</v>
      </c>
      <c r="J10" s="522">
        <f>SUMIF(75:75,I10,76:76)-SUMIF(75:75,C10,76:76)+100</f>
        <v>100</v>
      </c>
      <c r="K10" s="526"/>
      <c r="L10" s="2139"/>
      <c r="M10" s="2136"/>
      <c r="N10" s="2136"/>
      <c r="O10" s="2140"/>
      <c r="P10" s="3391" t="s">
        <v>534</v>
      </c>
      <c r="Q10" s="3392"/>
      <c r="R10" s="1571" t="s">
        <v>8</v>
      </c>
      <c r="S10" s="1572">
        <f t="shared" si="0"/>
        <v>100</v>
      </c>
      <c r="T10" s="1571" t="s">
        <v>8</v>
      </c>
      <c r="U10" s="1572">
        <f t="shared" si="1"/>
        <v>100</v>
      </c>
      <c r="V10" s="1571" t="s">
        <v>8</v>
      </c>
      <c r="W10" s="1572">
        <f t="shared" si="2"/>
        <v>100</v>
      </c>
      <c r="X10" s="1573"/>
      <c r="Y10" s="3391" t="s">
        <v>534</v>
      </c>
      <c r="Z10" s="3392"/>
      <c r="AA10" s="1574">
        <f t="shared" ref="AA10:AA47" si="3">D10/F10</f>
        <v>1</v>
      </c>
      <c r="AB10" s="1574">
        <f t="shared" ref="AB10:AB47" si="4">D10/H10</f>
        <v>1</v>
      </c>
      <c r="AC10" s="1574">
        <f t="shared" ref="AC10:AC47" si="5">D10/J10</f>
        <v>1</v>
      </c>
    </row>
    <row r="11" spans="1:30" s="1222" customFormat="1" ht="20.25">
      <c r="A11" s="2944"/>
      <c r="B11" s="2951" t="s">
        <v>2762</v>
      </c>
      <c r="C11" s="2938" t="s">
        <v>3096</v>
      </c>
      <c r="D11" s="253">
        <v>100</v>
      </c>
      <c r="E11" s="528" t="s">
        <v>3096</v>
      </c>
      <c r="F11" s="253">
        <f>SUMIF(77:77,E11,78:78)-SUMIF(77:77,C11,78:78)+100</f>
        <v>100</v>
      </c>
      <c r="G11" s="528" t="s">
        <v>3096</v>
      </c>
      <c r="H11" s="253">
        <f>SUMIF(77:77,G11,78:78)-SUMIF(77:77,C11,78:78)+100</f>
        <v>100</v>
      </c>
      <c r="I11" s="528" t="s">
        <v>3096</v>
      </c>
      <c r="J11" s="253">
        <f>SUMIF(77:77,I11,78:78)-SUMIF(77:77,C11,78:78)+100</f>
        <v>100</v>
      </c>
      <c r="K11" s="526"/>
      <c r="L11" s="2139"/>
      <c r="M11" s="2136"/>
      <c r="N11" s="2136"/>
      <c r="O11" s="2141"/>
      <c r="P11" s="3360" t="s">
        <v>536</v>
      </c>
      <c r="Q11" s="1153" t="str">
        <f t="shared" ref="Q11:Q17" si="6">B11</f>
        <v>用途</v>
      </c>
      <c r="R11" s="1571" t="s">
        <v>8</v>
      </c>
      <c r="S11" s="1572">
        <f t="shared" si="0"/>
        <v>100</v>
      </c>
      <c r="T11" s="1571" t="s">
        <v>8</v>
      </c>
      <c r="U11" s="1572">
        <f t="shared" si="1"/>
        <v>100</v>
      </c>
      <c r="V11" s="1571" t="s">
        <v>8</v>
      </c>
      <c r="W11" s="1572">
        <f t="shared" si="2"/>
        <v>100</v>
      </c>
      <c r="X11" s="1573"/>
      <c r="Y11" s="3306" t="s">
        <v>537</v>
      </c>
      <c r="Z11" s="1152" t="str">
        <f t="shared" ref="Z11:Z17" si="7">Q11</f>
        <v>用途</v>
      </c>
      <c r="AA11" s="1574">
        <f t="shared" si="3"/>
        <v>1</v>
      </c>
      <c r="AB11" s="1574">
        <f t="shared" si="4"/>
        <v>1</v>
      </c>
      <c r="AC11" s="1574">
        <f t="shared" si="5"/>
        <v>1</v>
      </c>
    </row>
    <row r="12" spans="1:30" s="1340" customFormat="1" ht="28.5">
      <c r="A12" s="2945"/>
      <c r="B12" s="2950" t="s">
        <v>2763</v>
      </c>
      <c r="C12" s="531" t="s">
        <v>3098</v>
      </c>
      <c r="D12" s="254">
        <v>100</v>
      </c>
      <c r="E12" s="531" t="s">
        <v>3097</v>
      </c>
      <c r="F12" s="254">
        <f>ROUND(100/'数据-取费表'!G16,0)</f>
        <v>104</v>
      </c>
      <c r="G12" s="531" t="s">
        <v>3097</v>
      </c>
      <c r="H12" s="254">
        <f>ROUND(100/'数据-取费表'!G16,0)</f>
        <v>104</v>
      </c>
      <c r="I12" s="531" t="s">
        <v>3097</v>
      </c>
      <c r="J12" s="254">
        <f>ROUND(100/'数据-取费表'!G16,0)</f>
        <v>104</v>
      </c>
      <c r="K12" s="533"/>
      <c r="L12" s="2142"/>
      <c r="M12" s="2136"/>
      <c r="N12" s="2136"/>
      <c r="O12" s="2143"/>
      <c r="P12" s="3360"/>
      <c r="Q12" s="1153" t="str">
        <f t="shared" si="6"/>
        <v>土地使用年限（年）</v>
      </c>
      <c r="R12" s="1571" t="s">
        <v>8</v>
      </c>
      <c r="S12" s="1572">
        <f t="shared" si="0"/>
        <v>104</v>
      </c>
      <c r="T12" s="1571" t="s">
        <v>8</v>
      </c>
      <c r="U12" s="1572">
        <f t="shared" si="1"/>
        <v>104</v>
      </c>
      <c r="V12" s="1571" t="s">
        <v>8</v>
      </c>
      <c r="W12" s="1572">
        <f t="shared" si="2"/>
        <v>104</v>
      </c>
      <c r="X12" s="1573"/>
      <c r="Y12" s="3306"/>
      <c r="Z12" s="1152" t="str">
        <f t="shared" si="7"/>
        <v>土地使用年限（年）</v>
      </c>
      <c r="AA12" s="1574">
        <f t="shared" si="3"/>
        <v>0.96153846153846156</v>
      </c>
      <c r="AB12" s="1574">
        <f t="shared" si="4"/>
        <v>0.96153846153846156</v>
      </c>
      <c r="AC12" s="1574">
        <f t="shared" si="5"/>
        <v>0.96153846153846156</v>
      </c>
    </row>
    <row r="13" spans="1:30" ht="20.25">
      <c r="A13" s="2946"/>
      <c r="B13" s="2950" t="s">
        <v>2764</v>
      </c>
      <c r="C13" s="536">
        <f>'数据-汇总表'!I6</f>
        <v>7.13</v>
      </c>
      <c r="D13" s="254">
        <v>100</v>
      </c>
      <c r="E13" s="535">
        <f>土地案例!H11</f>
        <v>7.49</v>
      </c>
      <c r="F13" s="254">
        <f>LOOKUP(E13,82:82,83:83)-LOOKUP(C13,82:82,83:83)+100</f>
        <v>100</v>
      </c>
      <c r="G13" s="536">
        <f>土地案例!H14</f>
        <v>7.52</v>
      </c>
      <c r="H13" s="254">
        <f>LOOKUP(G13,82:82,83:83)-LOOKUP(C13,82:82,83:83)+100</f>
        <v>100</v>
      </c>
      <c r="I13" s="535">
        <f>土地案例!H16</f>
        <v>7.51</v>
      </c>
      <c r="J13" s="254">
        <f>LOOKUP(I13,82:82,83:83)-LOOKUP(C13,82:82,83:83)+100</f>
        <v>100</v>
      </c>
      <c r="K13" s="537">
        <v>1</v>
      </c>
      <c r="L13" s="2144"/>
      <c r="M13" s="2136"/>
      <c r="N13" s="2136"/>
      <c r="O13" s="2145"/>
      <c r="P13" s="3360"/>
      <c r="Q13" s="1153" t="str">
        <f t="shared" si="6"/>
        <v>容积率</v>
      </c>
      <c r="R13" s="1571" t="s">
        <v>8</v>
      </c>
      <c r="S13" s="1572">
        <f t="shared" si="0"/>
        <v>100</v>
      </c>
      <c r="T13" s="1571" t="s">
        <v>8</v>
      </c>
      <c r="U13" s="1572">
        <f t="shared" si="1"/>
        <v>100</v>
      </c>
      <c r="V13" s="1571" t="s">
        <v>8</v>
      </c>
      <c r="W13" s="1572">
        <f t="shared" si="2"/>
        <v>100</v>
      </c>
      <c r="X13" s="1573"/>
      <c r="Y13" s="3306"/>
      <c r="Z13" s="1152" t="str">
        <f t="shared" si="7"/>
        <v>容积率</v>
      </c>
      <c r="AA13" s="1574">
        <f t="shared" si="3"/>
        <v>1</v>
      </c>
      <c r="AB13" s="1574">
        <f t="shared" si="4"/>
        <v>1</v>
      </c>
      <c r="AC13" s="1574">
        <f t="shared" si="5"/>
        <v>1</v>
      </c>
    </row>
    <row r="14" spans="1:30" s="1222" customFormat="1" ht="20.25">
      <c r="A14" s="2943"/>
      <c r="B14" s="2952" t="s">
        <v>2765</v>
      </c>
      <c r="C14" s="2939"/>
      <c r="D14" s="540">
        <v>100</v>
      </c>
      <c r="E14" s="1377"/>
      <c r="F14" s="254">
        <f>SUMIF(84:84,E14,85:85)-SUMIF(84:84,C14,85:85)+100</f>
        <v>100</v>
      </c>
      <c r="G14" s="532"/>
      <c r="H14" s="254">
        <f>SUMIF(84:84,G14,85:85)-SUMIF(84:84,C14,85:85)+100</f>
        <v>100</v>
      </c>
      <c r="I14" s="531"/>
      <c r="J14" s="254">
        <f>SUMIF(84:84,I14,85:85)-SUMIF(84:84,C14,85:85)+100</f>
        <v>100</v>
      </c>
      <c r="K14" s="533"/>
      <c r="L14" s="2139"/>
      <c r="M14" s="2136"/>
      <c r="N14" s="2136"/>
      <c r="O14" s="2141"/>
      <c r="P14" s="3360"/>
      <c r="Q14" s="1153" t="str">
        <f t="shared" si="6"/>
        <v>配建</v>
      </c>
      <c r="R14" s="1571" t="s">
        <v>8</v>
      </c>
      <c r="S14" s="1572">
        <f t="shared" si="0"/>
        <v>100</v>
      </c>
      <c r="T14" s="1571" t="s">
        <v>8</v>
      </c>
      <c r="U14" s="1572">
        <f t="shared" si="1"/>
        <v>100</v>
      </c>
      <c r="V14" s="1571" t="s">
        <v>8</v>
      </c>
      <c r="W14" s="1572">
        <f t="shared" si="2"/>
        <v>100</v>
      </c>
      <c r="X14" s="1573"/>
      <c r="Y14" s="3306"/>
      <c r="Z14" s="1152" t="str">
        <f t="shared" si="7"/>
        <v>配建</v>
      </c>
      <c r="AA14" s="1574">
        <f>D14/F14</f>
        <v>1</v>
      </c>
      <c r="AB14" s="1574">
        <f>D14/H14</f>
        <v>1</v>
      </c>
      <c r="AC14" s="1574">
        <f>D14/J14</f>
        <v>1</v>
      </c>
    </row>
    <row r="15" spans="1:30" ht="20.25">
      <c r="A15" s="2947"/>
      <c r="B15" s="2953">
        <v>111</v>
      </c>
      <c r="C15" s="914"/>
      <c r="D15" s="542">
        <v>100</v>
      </c>
      <c r="E15" s="543"/>
      <c r="F15" s="254">
        <f>SUMIF(86:86,E15,87:87)-SUMIF(86:86,C15,87:87)+100</f>
        <v>100</v>
      </c>
      <c r="G15" s="544"/>
      <c r="H15" s="542">
        <f>SUMIF(86:86,G15,87:87)-SUMIF(86:86,C15,87:87)+100</f>
        <v>100</v>
      </c>
      <c r="I15" s="544"/>
      <c r="J15" s="542">
        <f>SUMIF(86:86,I15,87:87)-SUMIF(86:86,C15,87:87)+100</f>
        <v>100</v>
      </c>
      <c r="K15" s="533"/>
      <c r="L15" s="2146"/>
      <c r="M15" s="2136"/>
      <c r="N15" s="2136"/>
      <c r="O15" s="2145"/>
      <c r="P15" s="3360"/>
      <c r="Q15" s="1153">
        <f t="shared" si="6"/>
        <v>111</v>
      </c>
      <c r="R15" s="1571" t="s">
        <v>8</v>
      </c>
      <c r="S15" s="1572">
        <f t="shared" si="0"/>
        <v>100</v>
      </c>
      <c r="T15" s="1571" t="s">
        <v>8</v>
      </c>
      <c r="U15" s="1572">
        <f t="shared" si="1"/>
        <v>100</v>
      </c>
      <c r="V15" s="1571" t="s">
        <v>8</v>
      </c>
      <c r="W15" s="1572">
        <f t="shared" si="2"/>
        <v>100</v>
      </c>
      <c r="X15" s="1573"/>
      <c r="Y15" s="3306"/>
      <c r="Z15" s="1152">
        <f t="shared" si="7"/>
        <v>111</v>
      </c>
      <c r="AA15" s="1574">
        <f>D15/F15</f>
        <v>1</v>
      </c>
      <c r="AB15" s="1574">
        <f>D15/H15</f>
        <v>1</v>
      </c>
      <c r="AC15" s="1574">
        <f>D15/J15</f>
        <v>1</v>
      </c>
    </row>
    <row r="16" spans="1:30" ht="21" thickBot="1">
      <c r="A16" s="2948"/>
      <c r="B16" s="2954">
        <v>111</v>
      </c>
      <c r="C16" s="917"/>
      <c r="D16" s="548">
        <v>100</v>
      </c>
      <c r="E16" s="543"/>
      <c r="F16" s="548">
        <f>SUMIF(88:88,E16,89:89)-SUMIF(88:88,C16,89:89)+100</f>
        <v>100</v>
      </c>
      <c r="G16" s="544"/>
      <c r="H16" s="548">
        <f>SUMIF(88:88,G16,89:89)-SUMIF(88:88,C16,89:89)+100</f>
        <v>100</v>
      </c>
      <c r="I16" s="544"/>
      <c r="J16" s="548">
        <f>SUMIF(88:88,I16,89:89)-SUMIF(88:88,C16,89:89)+100</f>
        <v>100</v>
      </c>
      <c r="K16" s="533"/>
      <c r="L16" s="2146"/>
      <c r="M16" s="2136"/>
      <c r="N16" s="2136"/>
      <c r="O16" s="2145"/>
      <c r="P16" s="3360"/>
      <c r="Q16" s="1153">
        <f t="shared" si="6"/>
        <v>111</v>
      </c>
      <c r="R16" s="1571" t="s">
        <v>8</v>
      </c>
      <c r="S16" s="1572">
        <f t="shared" si="0"/>
        <v>100</v>
      </c>
      <c r="T16" s="1571" t="s">
        <v>8</v>
      </c>
      <c r="U16" s="1572">
        <f t="shared" si="1"/>
        <v>100</v>
      </c>
      <c r="V16" s="1571" t="s">
        <v>8</v>
      </c>
      <c r="W16" s="1572">
        <f t="shared" si="2"/>
        <v>100</v>
      </c>
      <c r="X16" s="1573"/>
      <c r="Y16" s="3306"/>
      <c r="Z16" s="1152">
        <f t="shared" si="7"/>
        <v>111</v>
      </c>
      <c r="AA16" s="1574">
        <f>D16/F16</f>
        <v>1</v>
      </c>
      <c r="AB16" s="1574">
        <f>D16/H16</f>
        <v>1</v>
      </c>
      <c r="AC16" s="1574">
        <f>D16/J16</f>
        <v>1</v>
      </c>
    </row>
    <row r="17" spans="1:29" ht="99.75">
      <c r="A17" s="2940" t="s">
        <v>2760</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46"/>
      <c r="M17" s="2136"/>
      <c r="N17" s="2136"/>
      <c r="O17" s="2145"/>
      <c r="P17" s="3394" t="s">
        <v>541</v>
      </c>
      <c r="Q17" s="1575" t="str">
        <f t="shared" si="6"/>
        <v>居住社区成熟度</v>
      </c>
      <c r="R17" s="1576" t="s">
        <v>8</v>
      </c>
      <c r="S17" s="1577">
        <f t="shared" si="0"/>
        <v>100</v>
      </c>
      <c r="T17" s="1576" t="s">
        <v>8</v>
      </c>
      <c r="U17" s="1577">
        <f t="shared" si="1"/>
        <v>100</v>
      </c>
      <c r="V17" s="1576" t="s">
        <v>8</v>
      </c>
      <c r="W17" s="1577">
        <f t="shared" si="2"/>
        <v>100</v>
      </c>
      <c r="X17" s="1570"/>
      <c r="Y17" s="3394"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46"/>
      <c r="M18" s="2136"/>
      <c r="N18" s="2136"/>
      <c r="O18" s="2145"/>
      <c r="P18" s="3395"/>
      <c r="Q18" s="1575"/>
      <c r="R18" s="1576"/>
      <c r="S18" s="1577"/>
      <c r="T18" s="1576"/>
      <c r="U18" s="1577"/>
      <c r="V18" s="1576"/>
      <c r="W18" s="1577"/>
      <c r="X18" s="1570"/>
      <c r="Y18" s="3395"/>
      <c r="Z18" s="1578"/>
      <c r="AA18" s="1579">
        <v>1</v>
      </c>
      <c r="AB18" s="1579">
        <v>1</v>
      </c>
      <c r="AC18" s="1579">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46"/>
      <c r="M19" s="2136"/>
      <c r="N19" s="2136"/>
      <c r="O19" s="2145"/>
      <c r="P19" s="3395"/>
      <c r="Q19" s="1575" t="str">
        <f>B19</f>
        <v>商业繁华度</v>
      </c>
      <c r="R19" s="1576" t="s">
        <v>8</v>
      </c>
      <c r="S19" s="1577">
        <f>F19</f>
        <v>100</v>
      </c>
      <c r="T19" s="1576" t="s">
        <v>8</v>
      </c>
      <c r="U19" s="1577">
        <f>H19</f>
        <v>100</v>
      </c>
      <c r="V19" s="1576" t="s">
        <v>8</v>
      </c>
      <c r="W19" s="1577">
        <f>J19</f>
        <v>100</v>
      </c>
      <c r="X19" s="1570"/>
      <c r="Y19" s="3395"/>
      <c r="Z19" s="1578" t="str">
        <f>Q19</f>
        <v>商业繁华度</v>
      </c>
      <c r="AA19" s="1579">
        <f t="shared" si="3"/>
        <v>1</v>
      </c>
      <c r="AB19" s="1579">
        <f t="shared" si="4"/>
        <v>1</v>
      </c>
      <c r="AC19" s="1579">
        <f t="shared" si="5"/>
        <v>1</v>
      </c>
    </row>
    <row r="20" spans="1:29" ht="20.25">
      <c r="A20" s="534"/>
      <c r="B20" s="568"/>
      <c r="C20" s="569" t="s">
        <v>3099</v>
      </c>
      <c r="D20" s="565"/>
      <c r="E20" s="3184" t="s">
        <v>3099</v>
      </c>
      <c r="F20" s="561"/>
      <c r="G20" s="3184" t="s">
        <v>3099</v>
      </c>
      <c r="H20" s="557"/>
      <c r="I20" s="3184" t="s">
        <v>3099</v>
      </c>
      <c r="J20" s="557"/>
      <c r="K20" s="533"/>
      <c r="L20" s="2146"/>
      <c r="M20" s="2136"/>
      <c r="N20" s="2136"/>
      <c r="O20" s="2145"/>
      <c r="P20" s="3395"/>
      <c r="Q20" s="1575"/>
      <c r="R20" s="1576"/>
      <c r="S20" s="1577"/>
      <c r="T20" s="1576"/>
      <c r="U20" s="1577"/>
      <c r="V20" s="1576"/>
      <c r="W20" s="1577"/>
      <c r="X20" s="1570"/>
      <c r="Y20" s="3395"/>
      <c r="Z20" s="1578"/>
      <c r="AA20" s="1579">
        <v>1</v>
      </c>
      <c r="AB20" s="1579">
        <v>1</v>
      </c>
      <c r="AC20" s="1579">
        <v>1</v>
      </c>
    </row>
    <row r="21" spans="1:29" ht="71.25">
      <c r="A21" s="534"/>
      <c r="B21" s="562" t="s">
        <v>543</v>
      </c>
      <c r="C21" s="563" t="str">
        <f>估价对象房地状况!C17</f>
        <v>估价对象位于XX商圈，周边办公楼项目较多，入驻率高，办公集聚程度较好</v>
      </c>
      <c r="D21" s="573">
        <v>100</v>
      </c>
      <c r="E21" s="572"/>
      <c r="F21" s="567">
        <f>SUMIF(94:94,E22,95:95)-SUMIF(94:94,C22,95:95)+100</f>
        <v>100</v>
      </c>
      <c r="G21" s="572"/>
      <c r="H21" s="561">
        <f>SUMIF(94:94,G22,95:95)-SUMIF(94:94,C22,95:95)+100</f>
        <v>100</v>
      </c>
      <c r="I21" s="572"/>
      <c r="J21" s="561">
        <f>SUMIF(94:94,I22,95:95)-SUMIF(94:94,C22,95:95)+100</f>
        <v>100</v>
      </c>
      <c r="K21" s="537">
        <v>2</v>
      </c>
      <c r="L21" s="2146"/>
      <c r="M21" s="2136"/>
      <c r="N21" s="2136"/>
      <c r="O21" s="2145"/>
      <c r="P21" s="3395"/>
      <c r="Q21" s="1575" t="str">
        <f>B21</f>
        <v>办公集聚程度</v>
      </c>
      <c r="R21" s="1576" t="s">
        <v>8</v>
      </c>
      <c r="S21" s="1577">
        <f>F21</f>
        <v>100</v>
      </c>
      <c r="T21" s="1576" t="s">
        <v>8</v>
      </c>
      <c r="U21" s="1577">
        <f>H21</f>
        <v>100</v>
      </c>
      <c r="V21" s="1576" t="s">
        <v>8</v>
      </c>
      <c r="W21" s="1577">
        <f>J21</f>
        <v>100</v>
      </c>
      <c r="X21" s="1570"/>
      <c r="Y21" s="3395"/>
      <c r="Z21" s="1578" t="str">
        <f>Q21</f>
        <v>办公集聚程度</v>
      </c>
      <c r="AA21" s="1579">
        <f t="shared" si="3"/>
        <v>1</v>
      </c>
      <c r="AB21" s="1579">
        <f t="shared" si="4"/>
        <v>1</v>
      </c>
      <c r="AC21" s="1579">
        <f t="shared" si="5"/>
        <v>1</v>
      </c>
    </row>
    <row r="22" spans="1:29" ht="20.25">
      <c r="A22" s="534"/>
      <c r="B22" s="568"/>
      <c r="C22" s="556" t="s">
        <v>3099</v>
      </c>
      <c r="D22" s="559"/>
      <c r="E22" s="3185" t="s">
        <v>3099</v>
      </c>
      <c r="F22" s="557"/>
      <c r="G22" s="3185" t="s">
        <v>3099</v>
      </c>
      <c r="H22" s="557"/>
      <c r="I22" s="3185" t="s">
        <v>3099</v>
      </c>
      <c r="J22" s="557"/>
      <c r="K22" s="533"/>
      <c r="L22" s="2146"/>
      <c r="M22" s="2136"/>
      <c r="N22" s="2136"/>
      <c r="O22" s="2145"/>
      <c r="P22" s="3395"/>
      <c r="Q22" s="1575"/>
      <c r="R22" s="1576"/>
      <c r="S22" s="1577"/>
      <c r="T22" s="1576"/>
      <c r="U22" s="1577"/>
      <c r="V22" s="1576"/>
      <c r="W22" s="1577"/>
      <c r="X22" s="1570"/>
      <c r="Y22" s="3395"/>
      <c r="Z22" s="1578"/>
      <c r="AA22" s="1579">
        <v>1</v>
      </c>
      <c r="AB22" s="1579">
        <v>1</v>
      </c>
      <c r="AC22" s="1579">
        <v>1</v>
      </c>
    </row>
    <row r="23" spans="1:29" ht="85.5">
      <c r="A23" s="534"/>
      <c r="B23" s="562" t="s">
        <v>544</v>
      </c>
      <c r="C23" s="575" t="str">
        <f>估价对象房地状况!C18</f>
        <v>估价对象周边道路状况、公共交通通达情况、停车便捷程度，综合评价交通便捷度较好</v>
      </c>
      <c r="D23" s="565">
        <v>100</v>
      </c>
      <c r="E23" s="564"/>
      <c r="F23" s="567">
        <f>SUMIF(96:96,E24,97:97)-SUMIF(96:96,C24,97:97)+100</f>
        <v>100</v>
      </c>
      <c r="G23" s="564"/>
      <c r="H23" s="561">
        <f>SUMIF(96:96,G24,97:97)-SUMIF(96:96,C24,97:97)+100</f>
        <v>100</v>
      </c>
      <c r="I23" s="564"/>
      <c r="J23" s="561">
        <f>SUMIF(96:96,I24,97:97)-SUMIF(96:96,C24,97:97)+100</f>
        <v>100</v>
      </c>
      <c r="K23" s="537">
        <v>2</v>
      </c>
      <c r="L23" s="2146"/>
      <c r="M23" s="2136"/>
      <c r="N23" s="2136"/>
      <c r="O23" s="2145"/>
      <c r="P23" s="3395"/>
      <c r="Q23" s="1575" t="str">
        <f>B23</f>
        <v>交通便捷度</v>
      </c>
      <c r="R23" s="1576" t="s">
        <v>8</v>
      </c>
      <c r="S23" s="1577">
        <f>F23</f>
        <v>100</v>
      </c>
      <c r="T23" s="1576" t="s">
        <v>8</v>
      </c>
      <c r="U23" s="1577">
        <f>H23</f>
        <v>100</v>
      </c>
      <c r="V23" s="1576" t="s">
        <v>8</v>
      </c>
      <c r="W23" s="1577">
        <f>J23</f>
        <v>100</v>
      </c>
      <c r="X23" s="1570"/>
      <c r="Y23" s="3395"/>
      <c r="Z23" s="1578" t="str">
        <f>Q23</f>
        <v>交通便捷度</v>
      </c>
      <c r="AA23" s="1579">
        <f t="shared" si="3"/>
        <v>1</v>
      </c>
      <c r="AB23" s="1579">
        <f t="shared" si="4"/>
        <v>1</v>
      </c>
      <c r="AC23" s="1579">
        <f t="shared" si="5"/>
        <v>1</v>
      </c>
    </row>
    <row r="24" spans="1:29" ht="20.25">
      <c r="A24" s="534"/>
      <c r="B24" s="580"/>
      <c r="C24" s="556" t="s">
        <v>3100</v>
      </c>
      <c r="D24" s="559"/>
      <c r="E24" s="3185" t="s">
        <v>3100</v>
      </c>
      <c r="F24" s="557"/>
      <c r="G24" s="3185" t="s">
        <v>3100</v>
      </c>
      <c r="H24" s="557"/>
      <c r="I24" s="3185" t="s">
        <v>3100</v>
      </c>
      <c r="J24" s="557"/>
      <c r="K24" s="533"/>
      <c r="L24" s="2146"/>
      <c r="M24" s="2136"/>
      <c r="N24" s="2136"/>
      <c r="O24" s="2145"/>
      <c r="P24" s="3395"/>
      <c r="Q24" s="1575"/>
      <c r="R24" s="1576"/>
      <c r="S24" s="1577"/>
      <c r="T24" s="1576"/>
      <c r="U24" s="1577"/>
      <c r="V24" s="1576"/>
      <c r="W24" s="1577"/>
      <c r="X24" s="1570"/>
      <c r="Y24" s="3395"/>
      <c r="Z24" s="1578"/>
      <c r="AA24" s="1579">
        <v>1</v>
      </c>
      <c r="AB24" s="1579">
        <v>1</v>
      </c>
      <c r="AC24" s="1579">
        <v>1</v>
      </c>
    </row>
    <row r="25" spans="1:29" ht="27">
      <c r="A25" s="517"/>
      <c r="B25" s="258" t="s">
        <v>545</v>
      </c>
      <c r="C25" s="575">
        <f>估价对象房地状况!C19</f>
        <v>0</v>
      </c>
      <c r="D25" s="565">
        <v>100</v>
      </c>
      <c r="E25" s="564"/>
      <c r="F25" s="567">
        <f>SUMIF(98:98,E26,99:99)-SUMIF(98:98,C26,99:99)+100</f>
        <v>100</v>
      </c>
      <c r="G25" s="564"/>
      <c r="H25" s="561">
        <f>SUMIF(98:98,G26,99:99)-SUMIF(98:98,C26,99:99)+100</f>
        <v>100</v>
      </c>
      <c r="I25" s="564"/>
      <c r="J25" s="561">
        <f>SUMIF(98:98,I26,99:99)-SUMIF(98:98,C26,99:99)+100</f>
        <v>100</v>
      </c>
      <c r="K25" s="537">
        <v>2</v>
      </c>
      <c r="L25" s="2146"/>
      <c r="M25" s="2136"/>
      <c r="N25" s="2136"/>
      <c r="O25" s="2145"/>
      <c r="P25" s="3395"/>
      <c r="Q25" s="1575" t="str">
        <f t="shared" ref="Q25:Q39" si="8">B25</f>
        <v>区域土地利用方向</v>
      </c>
      <c r="R25" s="1576" t="s">
        <v>8</v>
      </c>
      <c r="S25" s="1577">
        <f>F25</f>
        <v>100</v>
      </c>
      <c r="T25" s="1576" t="s">
        <v>8</v>
      </c>
      <c r="U25" s="1577">
        <f>H25</f>
        <v>100</v>
      </c>
      <c r="V25" s="1576" t="s">
        <v>8</v>
      </c>
      <c r="W25" s="1577">
        <f>J25</f>
        <v>100</v>
      </c>
      <c r="X25" s="1570"/>
      <c r="Y25" s="3395"/>
      <c r="Z25" s="1578" t="str">
        <f>Q25</f>
        <v>区域土地利用方向</v>
      </c>
      <c r="AA25" s="1579">
        <f t="shared" si="3"/>
        <v>1</v>
      </c>
      <c r="AB25" s="1579">
        <f t="shared" si="4"/>
        <v>1</v>
      </c>
      <c r="AC25" s="1579">
        <f t="shared" si="5"/>
        <v>1</v>
      </c>
    </row>
    <row r="26" spans="1:29" ht="20.25">
      <c r="A26" s="517"/>
      <c r="B26" s="1009"/>
      <c r="C26" s="556" t="s">
        <v>3100</v>
      </c>
      <c r="D26" s="559"/>
      <c r="E26" s="3185" t="s">
        <v>3100</v>
      </c>
      <c r="F26" s="557"/>
      <c r="G26" s="3185" t="s">
        <v>3100</v>
      </c>
      <c r="H26" s="557"/>
      <c r="I26" s="3185" t="s">
        <v>3100</v>
      </c>
      <c r="J26" s="557"/>
      <c r="K26" s="533"/>
      <c r="L26" s="2146"/>
      <c r="M26" s="2136"/>
      <c r="N26" s="2136"/>
      <c r="O26" s="2145"/>
      <c r="P26" s="3395"/>
      <c r="Q26" s="1575"/>
      <c r="R26" s="1576"/>
      <c r="S26" s="1577"/>
      <c r="T26" s="1576"/>
      <c r="U26" s="1577"/>
      <c r="V26" s="1576"/>
      <c r="W26" s="1577"/>
      <c r="X26" s="1570"/>
      <c r="Y26" s="3395"/>
      <c r="Z26" s="1578"/>
      <c r="AA26" s="1579"/>
      <c r="AB26" s="1579"/>
      <c r="AC26" s="1579"/>
    </row>
    <row r="27" spans="1:29" ht="57">
      <c r="A27" s="517"/>
      <c r="B27" s="580" t="s">
        <v>546</v>
      </c>
      <c r="C27" s="563" t="str">
        <f>估价对象房地状况!C20</f>
        <v>区域自然环境：；人文环境；综合评价环境状况一般</v>
      </c>
      <c r="D27" s="565">
        <v>100</v>
      </c>
      <c r="E27" s="564"/>
      <c r="F27" s="561">
        <f>SUMIF(100:100,E28,101:101)-SUMIF(100:100,C28,101:101)+100</f>
        <v>100</v>
      </c>
      <c r="G27" s="564"/>
      <c r="H27" s="561">
        <f>SUMIF(100:100,G28,101:101)-SUMIF(100:100,C28,101:101)+100</f>
        <v>100</v>
      </c>
      <c r="I27" s="564"/>
      <c r="J27" s="561">
        <f>SUMIF(100:100,I28,101:101)-SUMIF(100:100,C28,101:101)+100</f>
        <v>100</v>
      </c>
      <c r="K27" s="537">
        <v>2</v>
      </c>
      <c r="L27" s="2146"/>
      <c r="M27" s="2136"/>
      <c r="N27" s="2136"/>
      <c r="O27" s="2145"/>
      <c r="P27" s="3395"/>
      <c r="Q27" s="1575" t="str">
        <f t="shared" si="8"/>
        <v>自然及人文环境状况</v>
      </c>
      <c r="R27" s="1576" t="s">
        <v>8</v>
      </c>
      <c r="S27" s="1577">
        <f>F27</f>
        <v>100</v>
      </c>
      <c r="T27" s="1576" t="s">
        <v>8</v>
      </c>
      <c r="U27" s="1577">
        <f>H27</f>
        <v>100</v>
      </c>
      <c r="V27" s="1576" t="s">
        <v>8</v>
      </c>
      <c r="W27" s="1577">
        <f>J27</f>
        <v>100</v>
      </c>
      <c r="X27" s="1570"/>
      <c r="Y27" s="3395"/>
      <c r="Z27" s="1578" t="str">
        <f>Q27</f>
        <v>自然及人文环境状况</v>
      </c>
      <c r="AA27" s="1579">
        <f t="shared" si="3"/>
        <v>1</v>
      </c>
      <c r="AB27" s="1579">
        <f t="shared" si="4"/>
        <v>1</v>
      </c>
      <c r="AC27" s="1579">
        <f t="shared" si="5"/>
        <v>1</v>
      </c>
    </row>
    <row r="28" spans="1:29" ht="20.25">
      <c r="A28" s="517"/>
      <c r="B28" s="568"/>
      <c r="C28" s="556" t="s">
        <v>3100</v>
      </c>
      <c r="D28" s="559"/>
      <c r="E28" s="3186" t="s">
        <v>3100</v>
      </c>
      <c r="F28" s="557"/>
      <c r="G28" s="3186" t="s">
        <v>3100</v>
      </c>
      <c r="H28" s="557"/>
      <c r="I28" s="3186" t="s">
        <v>3100</v>
      </c>
      <c r="J28" s="557"/>
      <c r="K28" s="533"/>
      <c r="L28" s="2146"/>
      <c r="M28" s="2136"/>
      <c r="N28" s="2136"/>
      <c r="O28" s="2145"/>
      <c r="P28" s="3395"/>
      <c r="Q28" s="1575"/>
      <c r="R28" s="1576"/>
      <c r="S28" s="1577"/>
      <c r="T28" s="1576"/>
      <c r="U28" s="1577"/>
      <c r="V28" s="1576"/>
      <c r="W28" s="1577"/>
      <c r="X28" s="1570"/>
      <c r="Y28" s="3395"/>
      <c r="Z28" s="1578"/>
      <c r="AA28" s="1579">
        <v>1</v>
      </c>
      <c r="AB28" s="1579">
        <v>1</v>
      </c>
      <c r="AC28" s="1579">
        <v>1</v>
      </c>
    </row>
    <row r="29" spans="1:29" s="1222" customFormat="1" ht="42.75">
      <c r="A29" s="579"/>
      <c r="B29" s="2619" t="s">
        <v>2552</v>
      </c>
      <c r="C29" s="575" t="str">
        <f>估价对象房地状况!C21</f>
        <v>估价对象所在区域公共配套设施齐备情况</v>
      </c>
      <c r="D29" s="565">
        <v>100</v>
      </c>
      <c r="E29" s="564"/>
      <c r="F29" s="561">
        <f>SUMIF(102:102,E30,103:103)-SUMIF(102:102,C30,103:103)+100</f>
        <v>100</v>
      </c>
      <c r="G29" s="564"/>
      <c r="H29" s="561">
        <f>SUMIF(102:102,G30,103:103)-SUMIF(102:102,C30,103:103)+100</f>
        <v>100</v>
      </c>
      <c r="I29" s="564"/>
      <c r="J29" s="561">
        <f>SUMIF(102:102,I30,103:103)-SUMIF(102:102,C30,103:103)+100</f>
        <v>100</v>
      </c>
      <c r="K29" s="537">
        <v>2</v>
      </c>
      <c r="L29" s="2139"/>
      <c r="M29" s="2136"/>
      <c r="N29" s="2136"/>
      <c r="O29" s="2141"/>
      <c r="P29" s="3395"/>
      <c r="Q29" s="1153" t="str">
        <f t="shared" si="8"/>
        <v>公共配套设施</v>
      </c>
      <c r="R29" s="1571" t="s">
        <v>8</v>
      </c>
      <c r="S29" s="1572">
        <f>F29</f>
        <v>100</v>
      </c>
      <c r="T29" s="1571" t="s">
        <v>8</v>
      </c>
      <c r="U29" s="1572">
        <f>H29</f>
        <v>100</v>
      </c>
      <c r="V29" s="1571" t="s">
        <v>8</v>
      </c>
      <c r="W29" s="1572">
        <f>J29</f>
        <v>100</v>
      </c>
      <c r="X29" s="1573"/>
      <c r="Y29" s="3395"/>
      <c r="Z29" s="1152" t="str">
        <f>Q29</f>
        <v>公共配套设施</v>
      </c>
      <c r="AA29" s="1579">
        <f>D29/F29</f>
        <v>1</v>
      </c>
      <c r="AB29" s="1579">
        <f>D29/H29</f>
        <v>1</v>
      </c>
      <c r="AC29" s="1579">
        <f>D29/J29</f>
        <v>1</v>
      </c>
    </row>
    <row r="30" spans="1:29" s="1222" customFormat="1" ht="20.25">
      <c r="A30" s="579"/>
      <c r="B30" s="568"/>
      <c r="C30" s="581" t="s">
        <v>3100</v>
      </c>
      <c r="D30" s="559"/>
      <c r="E30" s="3186" t="s">
        <v>3100</v>
      </c>
      <c r="F30" s="557"/>
      <c r="G30" s="3186" t="s">
        <v>3100</v>
      </c>
      <c r="H30" s="557"/>
      <c r="I30" s="3186" t="s">
        <v>3100</v>
      </c>
      <c r="J30" s="557"/>
      <c r="K30" s="533"/>
      <c r="L30" s="2139"/>
      <c r="M30" s="2136"/>
      <c r="N30" s="2136"/>
      <c r="O30" s="2141"/>
      <c r="P30" s="3395"/>
      <c r="Q30" s="1153"/>
      <c r="R30" s="1571"/>
      <c r="S30" s="1572"/>
      <c r="T30" s="1571"/>
      <c r="U30" s="1572"/>
      <c r="V30" s="1571"/>
      <c r="W30" s="1572"/>
      <c r="X30" s="1573"/>
      <c r="Y30" s="3395"/>
      <c r="Z30" s="1152"/>
      <c r="AA30" s="1579">
        <v>1</v>
      </c>
      <c r="AB30" s="1579">
        <v>1</v>
      </c>
      <c r="AC30" s="1579">
        <v>1</v>
      </c>
    </row>
    <row r="31" spans="1:29" s="1222" customFormat="1" ht="28.5">
      <c r="A31" s="579"/>
      <c r="B31" s="2619" t="s">
        <v>2553</v>
      </c>
      <c r="C31" s="575" t="str">
        <f>估价对象房地状况!C22</f>
        <v>估价对象所在区域基础设施水平</v>
      </c>
      <c r="D31" s="565">
        <v>100</v>
      </c>
      <c r="E31" s="564"/>
      <c r="F31" s="561">
        <f>SUMIF(104:104,E32,105:105)-SUMIF(104:104,C32,105:105)+100</f>
        <v>100</v>
      </c>
      <c r="G31" s="564"/>
      <c r="H31" s="561">
        <f>SUMIF(104:104,G32,105:105)-SUMIF(104:104,C32,105:105)+100</f>
        <v>100</v>
      </c>
      <c r="I31" s="564"/>
      <c r="J31" s="561">
        <f>SUMIF(104:104,I32,105:105)-SUMIF(104:104,C32,105:105)+100</f>
        <v>100</v>
      </c>
      <c r="K31" s="537">
        <v>1</v>
      </c>
      <c r="L31" s="2139"/>
      <c r="M31" s="2136"/>
      <c r="N31" s="2136"/>
      <c r="O31" s="2141"/>
      <c r="P31" s="3395"/>
      <c r="Q31" s="2606" t="str">
        <f t="shared" ref="Q31" si="9">B31</f>
        <v>基础设施水平</v>
      </c>
      <c r="R31" s="1571" t="s">
        <v>8</v>
      </c>
      <c r="S31" s="1572">
        <f>F31</f>
        <v>100</v>
      </c>
      <c r="T31" s="1571" t="s">
        <v>8</v>
      </c>
      <c r="U31" s="1572">
        <f>H31</f>
        <v>100</v>
      </c>
      <c r="V31" s="1571" t="s">
        <v>8</v>
      </c>
      <c r="W31" s="1572">
        <f>J31</f>
        <v>100</v>
      </c>
      <c r="X31" s="1573"/>
      <c r="Y31" s="3395"/>
      <c r="Z31" s="2603" t="str">
        <f>Q31</f>
        <v>基础设施水平</v>
      </c>
      <c r="AA31" s="1579">
        <f>D31/F31</f>
        <v>1</v>
      </c>
      <c r="AB31" s="1579">
        <f>D31/H31</f>
        <v>1</v>
      </c>
      <c r="AC31" s="1579">
        <f>D31/J31</f>
        <v>1</v>
      </c>
    </row>
    <row r="32" spans="1:29" s="1222" customFormat="1" ht="20.25">
      <c r="A32" s="579"/>
      <c r="B32" s="568"/>
      <c r="C32" s="581" t="s">
        <v>3101</v>
      </c>
      <c r="D32" s="559"/>
      <c r="E32" s="3187" t="s">
        <v>3101</v>
      </c>
      <c r="F32" s="557"/>
      <c r="G32" s="3187" t="s">
        <v>3101</v>
      </c>
      <c r="H32" s="557"/>
      <c r="I32" s="3187" t="s">
        <v>3101</v>
      </c>
      <c r="J32" s="557"/>
      <c r="K32" s="533"/>
      <c r="L32" s="2139"/>
      <c r="M32" s="2136"/>
      <c r="N32" s="2136"/>
      <c r="O32" s="2141"/>
      <c r="P32" s="3395"/>
      <c r="Q32" s="2606"/>
      <c r="R32" s="1571"/>
      <c r="S32" s="1572"/>
      <c r="T32" s="1571"/>
      <c r="U32" s="1572"/>
      <c r="V32" s="1571"/>
      <c r="W32" s="1572"/>
      <c r="X32" s="1573"/>
      <c r="Y32" s="3395"/>
      <c r="Z32" s="2603"/>
      <c r="AA32" s="1579">
        <v>1</v>
      </c>
      <c r="AB32" s="1579">
        <v>1</v>
      </c>
      <c r="AC32" s="1579">
        <v>1</v>
      </c>
    </row>
    <row r="33" spans="1:29" ht="20.25">
      <c r="A33" s="534"/>
      <c r="B33" s="568" t="s">
        <v>548</v>
      </c>
      <c r="C33" s="582" t="s">
        <v>3102</v>
      </c>
      <c r="D33" s="577">
        <v>100</v>
      </c>
      <c r="E33" s="3188" t="s">
        <v>3128</v>
      </c>
      <c r="F33" s="542">
        <f>SUMIF(106:106,E33,107:107)-SUMIF(106:106,C33,107:107)+100</f>
        <v>98</v>
      </c>
      <c r="G33" s="3188" t="s">
        <v>3128</v>
      </c>
      <c r="H33" s="542">
        <f>SUMIF(106:106,G33,107:107)-SUMIF(106:106,C33,107:107)+100</f>
        <v>98</v>
      </c>
      <c r="I33" s="3188" t="s">
        <v>3128</v>
      </c>
      <c r="J33" s="542">
        <f>SUMIF(106:106,I33,107:107)-SUMIF(106:106,C33,107:107)+100</f>
        <v>98</v>
      </c>
      <c r="K33" s="537">
        <v>2</v>
      </c>
      <c r="L33" s="2146"/>
      <c r="M33" s="2136"/>
      <c r="N33" s="2136"/>
      <c r="O33" s="2145"/>
      <c r="P33" s="3395"/>
      <c r="Q33" s="1575" t="str">
        <f t="shared" si="8"/>
        <v>临街状况</v>
      </c>
      <c r="R33" s="1576" t="s">
        <v>8</v>
      </c>
      <c r="S33" s="1577">
        <f t="shared" ref="S33:S47" si="10">F33</f>
        <v>98</v>
      </c>
      <c r="T33" s="1576" t="s">
        <v>8</v>
      </c>
      <c r="U33" s="1577">
        <f t="shared" ref="U33:U47" si="11">H33</f>
        <v>98</v>
      </c>
      <c r="V33" s="1576" t="s">
        <v>8</v>
      </c>
      <c r="W33" s="1577">
        <f t="shared" ref="W33:W47" si="12">J33</f>
        <v>98</v>
      </c>
      <c r="X33" s="1570"/>
      <c r="Y33" s="3395"/>
      <c r="Z33" s="1578" t="str">
        <f t="shared" ref="Z33:Z47" si="13">Q33</f>
        <v>临街状况</v>
      </c>
      <c r="AA33" s="1579">
        <f t="shared" si="3"/>
        <v>1.0204081632653061</v>
      </c>
      <c r="AB33" s="1579">
        <f t="shared" si="4"/>
        <v>1.0204081632653061</v>
      </c>
      <c r="AC33" s="1579">
        <f t="shared" si="5"/>
        <v>1.0204081632653061</v>
      </c>
    </row>
    <row r="34" spans="1:29" ht="27.75">
      <c r="A34" s="534"/>
      <c r="B34" s="580" t="s">
        <v>549</v>
      </c>
      <c r="C34" s="564"/>
      <c r="D34" s="565">
        <v>100</v>
      </c>
      <c r="E34" s="564" t="s">
        <v>3129</v>
      </c>
      <c r="F34" s="561">
        <f>SUMIF(108:108,E35,109:109)-SUMIF(108:108,C35,109:109)+100</f>
        <v>100</v>
      </c>
      <c r="G34" s="564" t="s">
        <v>3129</v>
      </c>
      <c r="H34" s="561">
        <f>SUMIF(108:108,G35,109:109)-SUMIF(108:108,C35,109:109)+100</f>
        <v>100</v>
      </c>
      <c r="I34" s="564" t="s">
        <v>3129</v>
      </c>
      <c r="J34" s="561">
        <f>SUMIF(108:108,I35,109:109)-SUMIF(108:108,C35,109:109)+100</f>
        <v>100</v>
      </c>
      <c r="K34" s="537">
        <v>1</v>
      </c>
      <c r="L34" s="2146"/>
      <c r="M34" s="2136"/>
      <c r="N34" s="2136"/>
      <c r="O34" s="2145"/>
      <c r="P34" s="3395"/>
      <c r="Q34" s="1575" t="str">
        <f t="shared" si="8"/>
        <v>毗邻道路的类型与等级</v>
      </c>
      <c r="R34" s="1576" t="s">
        <v>8</v>
      </c>
      <c r="S34" s="1577">
        <f t="shared" si="10"/>
        <v>100</v>
      </c>
      <c r="T34" s="1576" t="s">
        <v>8</v>
      </c>
      <c r="U34" s="1577">
        <f t="shared" si="11"/>
        <v>100</v>
      </c>
      <c r="V34" s="1576" t="s">
        <v>8</v>
      </c>
      <c r="W34" s="1577">
        <f t="shared" si="12"/>
        <v>100</v>
      </c>
      <c r="X34" s="1570"/>
      <c r="Y34" s="3395"/>
      <c r="Z34" s="1578" t="str">
        <f t="shared" si="13"/>
        <v>毗邻道路的类型与等级</v>
      </c>
      <c r="AA34" s="1579">
        <f t="shared" si="3"/>
        <v>1</v>
      </c>
      <c r="AB34" s="1579">
        <f t="shared" si="4"/>
        <v>1</v>
      </c>
      <c r="AC34" s="1579">
        <f t="shared" si="5"/>
        <v>1</v>
      </c>
    </row>
    <row r="35" spans="1:29" ht="20.25">
      <c r="A35" s="534"/>
      <c r="B35" s="568"/>
      <c r="C35" s="556" t="s">
        <v>3108</v>
      </c>
      <c r="D35" s="559"/>
      <c r="E35" s="556" t="s">
        <v>3108</v>
      </c>
      <c r="F35" s="557"/>
      <c r="G35" s="556" t="s">
        <v>3108</v>
      </c>
      <c r="H35" s="557"/>
      <c r="I35" s="556" t="s">
        <v>3108</v>
      </c>
      <c r="J35" s="557"/>
      <c r="K35" s="583"/>
      <c r="L35" s="2146"/>
      <c r="M35" s="2136"/>
      <c r="N35" s="2136"/>
      <c r="O35" s="2145"/>
      <c r="P35" s="3395"/>
      <c r="Q35" s="1575"/>
      <c r="R35" s="1576"/>
      <c r="S35" s="1577"/>
      <c r="T35" s="1576"/>
      <c r="U35" s="1577"/>
      <c r="V35" s="1576"/>
      <c r="W35" s="1577"/>
      <c r="X35" s="1570"/>
      <c r="Y35" s="3395"/>
      <c r="Z35" s="1578"/>
      <c r="AA35" s="1579">
        <v>1</v>
      </c>
      <c r="AB35" s="1579">
        <v>1</v>
      </c>
      <c r="AC35" s="1579">
        <v>1</v>
      </c>
    </row>
    <row r="36" spans="1:29" ht="20.25">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0</v>
      </c>
      <c r="L36" s="2146"/>
      <c r="M36" s="2136"/>
      <c r="N36" s="2136"/>
      <c r="O36" s="2145"/>
      <c r="P36" s="3395"/>
      <c r="Q36" s="1575" t="str">
        <f t="shared" si="8"/>
        <v>土地级别</v>
      </c>
      <c r="R36" s="1576" t="s">
        <v>8</v>
      </c>
      <c r="S36" s="1577">
        <f t="shared" si="10"/>
        <v>100</v>
      </c>
      <c r="T36" s="1576" t="s">
        <v>8</v>
      </c>
      <c r="U36" s="1577">
        <f t="shared" si="11"/>
        <v>100</v>
      </c>
      <c r="V36" s="1576" t="s">
        <v>8</v>
      </c>
      <c r="W36" s="1577">
        <f t="shared" si="12"/>
        <v>100</v>
      </c>
      <c r="X36" s="1570"/>
      <c r="Y36" s="3395"/>
      <c r="Z36" s="1578" t="str">
        <f t="shared" si="13"/>
        <v>土地级别</v>
      </c>
      <c r="AA36" s="1579">
        <f t="shared" si="3"/>
        <v>1</v>
      </c>
      <c r="AB36" s="1579">
        <f t="shared" si="4"/>
        <v>1</v>
      </c>
      <c r="AC36" s="1579">
        <f t="shared" si="5"/>
        <v>1</v>
      </c>
    </row>
    <row r="37" spans="1:29" ht="20.25">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6"/>
      <c r="M37" s="2136"/>
      <c r="N37" s="2136"/>
      <c r="O37" s="2145"/>
      <c r="P37" s="3395"/>
      <c r="Q37" s="1575">
        <f t="shared" si="8"/>
        <v>111</v>
      </c>
      <c r="R37" s="1576" t="s">
        <v>8</v>
      </c>
      <c r="S37" s="1577">
        <f t="shared" si="10"/>
        <v>100</v>
      </c>
      <c r="T37" s="1576" t="s">
        <v>8</v>
      </c>
      <c r="U37" s="1577">
        <f t="shared" si="11"/>
        <v>100</v>
      </c>
      <c r="V37" s="1576" t="s">
        <v>8</v>
      </c>
      <c r="W37" s="1577">
        <f t="shared" si="12"/>
        <v>100</v>
      </c>
      <c r="X37" s="1570"/>
      <c r="Y37" s="3395"/>
      <c r="Z37" s="1578">
        <f t="shared" si="13"/>
        <v>111</v>
      </c>
      <c r="AA37" s="1579">
        <f t="shared" si="3"/>
        <v>1</v>
      </c>
      <c r="AB37" s="1579">
        <f t="shared" si="4"/>
        <v>1</v>
      </c>
      <c r="AC37" s="1579">
        <f t="shared" si="5"/>
        <v>1</v>
      </c>
    </row>
    <row r="38" spans="1:29" ht="20.25">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6"/>
      <c r="M38" s="2136"/>
      <c r="N38" s="2136"/>
      <c r="O38" s="2145"/>
      <c r="P38" s="3396" t="s">
        <v>551</v>
      </c>
      <c r="Q38" s="1575">
        <f t="shared" si="8"/>
        <v>111</v>
      </c>
      <c r="R38" s="1576" t="s">
        <v>8</v>
      </c>
      <c r="S38" s="1577">
        <f t="shared" si="10"/>
        <v>100</v>
      </c>
      <c r="T38" s="1576" t="s">
        <v>8</v>
      </c>
      <c r="U38" s="1577">
        <f t="shared" si="11"/>
        <v>100</v>
      </c>
      <c r="V38" s="1576" t="s">
        <v>8</v>
      </c>
      <c r="W38" s="1577">
        <f t="shared" si="12"/>
        <v>100</v>
      </c>
      <c r="X38" s="1570"/>
      <c r="Y38" s="3397" t="s">
        <v>551</v>
      </c>
      <c r="Z38" s="1578">
        <f t="shared" si="13"/>
        <v>111</v>
      </c>
      <c r="AA38" s="1579">
        <f t="shared" si="3"/>
        <v>1</v>
      </c>
      <c r="AB38" s="1579">
        <f t="shared" si="4"/>
        <v>1</v>
      </c>
      <c r="AC38" s="1579">
        <f t="shared" si="5"/>
        <v>1</v>
      </c>
    </row>
    <row r="39" spans="1:29" s="1341" customFormat="1" ht="2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4"/>
      <c r="M39" s="2136"/>
      <c r="N39" s="2136"/>
      <c r="O39" s="2147"/>
      <c r="P39" s="3397"/>
      <c r="Q39" s="1575">
        <f t="shared" si="8"/>
        <v>111</v>
      </c>
      <c r="R39" s="1580" t="s">
        <v>8</v>
      </c>
      <c r="S39" s="1581">
        <f t="shared" si="10"/>
        <v>100</v>
      </c>
      <c r="T39" s="1580" t="s">
        <v>8</v>
      </c>
      <c r="U39" s="1581">
        <f t="shared" si="11"/>
        <v>100</v>
      </c>
      <c r="V39" s="1580" t="s">
        <v>8</v>
      </c>
      <c r="W39" s="1581">
        <f t="shared" si="12"/>
        <v>100</v>
      </c>
      <c r="X39" s="1582"/>
      <c r="Y39" s="3397"/>
      <c r="Z39" s="1583">
        <f t="shared" si="13"/>
        <v>111</v>
      </c>
      <c r="AA39" s="1579">
        <f t="shared" si="3"/>
        <v>1</v>
      </c>
      <c r="AB39" s="1579">
        <f t="shared" si="4"/>
        <v>1</v>
      </c>
      <c r="AC39" s="1579">
        <f t="shared" si="5"/>
        <v>1</v>
      </c>
    </row>
    <row r="40" spans="1:29" ht="20.25">
      <c r="A40" s="2937" t="s">
        <v>2761</v>
      </c>
      <c r="B40" s="597" t="s">
        <v>553</v>
      </c>
      <c r="C40" s="598">
        <f>'数据-汇总表'!D3</f>
        <v>9522.6299999999992</v>
      </c>
      <c r="D40" s="599">
        <v>100</v>
      </c>
      <c r="E40" s="598">
        <f>土地案例!F11</f>
        <v>17815</v>
      </c>
      <c r="F40" s="599">
        <f>LOOKUP(E40,119:119,120:120)-LOOKUP(C40,119:119,120:120)+100</f>
        <v>101</v>
      </c>
      <c r="G40" s="598">
        <f>土地案例!F14</f>
        <v>17064</v>
      </c>
      <c r="H40" s="599">
        <f>LOOKUP(G40,119:119,120:120)-LOOKUP(C40,119:119,120:120)+100</f>
        <v>101</v>
      </c>
      <c r="I40" s="600">
        <f>土地案例!F16</f>
        <v>17086</v>
      </c>
      <c r="J40" s="599">
        <f>LOOKUP(I40,119:119,120:120)-LOOKUP(C40,119:119,120:120)+100</f>
        <v>101</v>
      </c>
      <c r="K40" s="583"/>
      <c r="L40" s="2146"/>
      <c r="M40" s="2136"/>
      <c r="N40" s="2136"/>
      <c r="O40" s="2145"/>
      <c r="P40" s="3397"/>
      <c r="Q40" s="1575" t="str">
        <f>B40</f>
        <v>宗地面积</v>
      </c>
      <c r="R40" s="1576" t="s">
        <v>8</v>
      </c>
      <c r="S40" s="1577">
        <f t="shared" si="10"/>
        <v>101</v>
      </c>
      <c r="T40" s="1576" t="s">
        <v>8</v>
      </c>
      <c r="U40" s="1577">
        <f t="shared" si="11"/>
        <v>101</v>
      </c>
      <c r="V40" s="1576" t="s">
        <v>8</v>
      </c>
      <c r="W40" s="1577">
        <f t="shared" si="12"/>
        <v>101</v>
      </c>
      <c r="X40" s="1570"/>
      <c r="Y40" s="3397"/>
      <c r="Z40" s="1578" t="str">
        <f t="shared" si="13"/>
        <v>宗地面积</v>
      </c>
      <c r="AA40" s="1579">
        <f t="shared" si="3"/>
        <v>0.99009900990099009</v>
      </c>
      <c r="AB40" s="1579">
        <f t="shared" si="4"/>
        <v>0.99009900990099009</v>
      </c>
      <c r="AC40" s="1579">
        <f t="shared" si="5"/>
        <v>0.99009900990099009</v>
      </c>
    </row>
    <row r="41" spans="1:29" ht="20.25">
      <c r="A41" s="596"/>
      <c r="B41" s="529" t="s">
        <v>554</v>
      </c>
      <c r="C41" s="601" t="s">
        <v>3113</v>
      </c>
      <c r="D41" s="542">
        <v>100</v>
      </c>
      <c r="E41" s="3189" t="s">
        <v>3113</v>
      </c>
      <c r="F41" s="542">
        <f>SUMIF(121:121,E41,122:122)-SUMIF(121:121,C41,122:122)+100</f>
        <v>100</v>
      </c>
      <c r="G41" s="3189" t="s">
        <v>3113</v>
      </c>
      <c r="H41" s="542">
        <f>SUMIF(121:121,G41,122:122)-SUMIF(121:121,C41,122:122)+100</f>
        <v>100</v>
      </c>
      <c r="I41" s="3189" t="s">
        <v>3113</v>
      </c>
      <c r="J41" s="542">
        <f>SUMIF(121:121,I41,122:122)-SUMIF(121:121,C41,122:122)+100</f>
        <v>100</v>
      </c>
      <c r="K41" s="586">
        <v>3</v>
      </c>
      <c r="L41" s="2146"/>
      <c r="M41" s="2136"/>
      <c r="N41" s="2136"/>
      <c r="O41" s="2145"/>
      <c r="P41" s="3397"/>
      <c r="Q41" s="1575" t="str">
        <f t="shared" ref="Q41:Q47" si="14">B41</f>
        <v>宗地形状</v>
      </c>
      <c r="R41" s="1576" t="s">
        <v>8</v>
      </c>
      <c r="S41" s="1577">
        <f t="shared" si="10"/>
        <v>100</v>
      </c>
      <c r="T41" s="1576" t="s">
        <v>8</v>
      </c>
      <c r="U41" s="1577">
        <f t="shared" si="11"/>
        <v>100</v>
      </c>
      <c r="V41" s="1576" t="s">
        <v>8</v>
      </c>
      <c r="W41" s="1577">
        <f t="shared" si="12"/>
        <v>100</v>
      </c>
      <c r="X41" s="1570"/>
      <c r="Y41" s="3397"/>
      <c r="Z41" s="1578" t="str">
        <f t="shared" si="13"/>
        <v>宗地形状</v>
      </c>
      <c r="AA41" s="1579">
        <f t="shared" si="3"/>
        <v>1</v>
      </c>
      <c r="AB41" s="1579">
        <f t="shared" si="4"/>
        <v>1</v>
      </c>
      <c r="AC41" s="1579">
        <f t="shared" si="5"/>
        <v>1</v>
      </c>
    </row>
    <row r="42" spans="1:29" ht="20.25">
      <c r="A42" s="596"/>
      <c r="B42" s="529" t="s">
        <v>555</v>
      </c>
      <c r="C42" s="3189" t="s">
        <v>3130</v>
      </c>
      <c r="D42" s="542">
        <v>100</v>
      </c>
      <c r="E42" s="3189" t="s">
        <v>3130</v>
      </c>
      <c r="F42" s="542">
        <f>SUMIF(123:123,E42,124:124)-SUMIF(123:123,C42,124:124)+100</f>
        <v>100</v>
      </c>
      <c r="G42" s="3189" t="s">
        <v>3130</v>
      </c>
      <c r="H42" s="542">
        <f>SUMIF(123:123,G42,124:124)-SUMIF(123:123,C42,124:124)+100</f>
        <v>100</v>
      </c>
      <c r="I42" s="3189" t="s">
        <v>3130</v>
      </c>
      <c r="J42" s="542">
        <f>SUMIF(123:123,I42,124:124)-SUMIF(123:123,C42,124:124)+100</f>
        <v>100</v>
      </c>
      <c r="K42" s="586">
        <v>2</v>
      </c>
      <c r="L42" s="2146"/>
      <c r="M42" s="2136"/>
      <c r="N42" s="2136"/>
      <c r="O42" s="2145"/>
      <c r="P42" s="3397"/>
      <c r="Q42" s="1575" t="str">
        <f t="shared" si="14"/>
        <v>临街宽度及深度</v>
      </c>
      <c r="R42" s="1576" t="s">
        <v>8</v>
      </c>
      <c r="S42" s="1577">
        <f t="shared" si="10"/>
        <v>100</v>
      </c>
      <c r="T42" s="1576" t="s">
        <v>8</v>
      </c>
      <c r="U42" s="1577">
        <f t="shared" si="11"/>
        <v>100</v>
      </c>
      <c r="V42" s="1576" t="s">
        <v>8</v>
      </c>
      <c r="W42" s="1577">
        <f t="shared" si="12"/>
        <v>100</v>
      </c>
      <c r="X42" s="1570"/>
      <c r="Y42" s="3397"/>
      <c r="Z42" s="1578" t="str">
        <f t="shared" si="13"/>
        <v>临街宽度及深度</v>
      </c>
      <c r="AA42" s="1579">
        <f t="shared" si="3"/>
        <v>1</v>
      </c>
      <c r="AB42" s="1579">
        <f t="shared" si="4"/>
        <v>1</v>
      </c>
      <c r="AC42" s="1579">
        <f t="shared" si="5"/>
        <v>1</v>
      </c>
    </row>
    <row r="43" spans="1:29" s="1222" customFormat="1" ht="20.25">
      <c r="A43" s="602"/>
      <c r="B43" s="1899" t="s">
        <v>2426</v>
      </c>
      <c r="C43" s="3190" t="s">
        <v>3101</v>
      </c>
      <c r="D43" s="254">
        <v>100</v>
      </c>
      <c r="E43" s="3190" t="s">
        <v>3101</v>
      </c>
      <c r="F43" s="542">
        <f>SUMIF(125:125,E43,126:126)-SUMIF(125:125,C43,126:126)+100</f>
        <v>100</v>
      </c>
      <c r="G43" s="3190" t="s">
        <v>3101</v>
      </c>
      <c r="H43" s="542">
        <f>SUMIF(125:125,G43,126:126)-SUMIF(125:125,C43,126:126)+100</f>
        <v>100</v>
      </c>
      <c r="I43" s="3190" t="s">
        <v>3101</v>
      </c>
      <c r="J43" s="542">
        <f>SUMIF(125:125,I43,126:126)-SUMIF(125:125,C43,126:126)+100</f>
        <v>100</v>
      </c>
      <c r="K43" s="586">
        <v>2</v>
      </c>
      <c r="L43" s="2139"/>
      <c r="M43" s="2136"/>
      <c r="N43" s="2136"/>
      <c r="O43" s="2141"/>
      <c r="P43" s="3397"/>
      <c r="Q43" s="1575" t="str">
        <f t="shared" si="14"/>
        <v>宗地开发程度</v>
      </c>
      <c r="R43" s="1571" t="s">
        <v>8</v>
      </c>
      <c r="S43" s="1572">
        <f t="shared" si="10"/>
        <v>100</v>
      </c>
      <c r="T43" s="1571" t="s">
        <v>8</v>
      </c>
      <c r="U43" s="1572">
        <f t="shared" si="11"/>
        <v>100</v>
      </c>
      <c r="V43" s="1571" t="s">
        <v>8</v>
      </c>
      <c r="W43" s="1572">
        <f t="shared" si="12"/>
        <v>100</v>
      </c>
      <c r="X43" s="1573"/>
      <c r="Y43" s="3397"/>
      <c r="Z43" s="1152" t="str">
        <f t="shared" si="13"/>
        <v>宗地开发程度</v>
      </c>
      <c r="AA43" s="1574">
        <f t="shared" si="3"/>
        <v>1</v>
      </c>
      <c r="AB43" s="1574">
        <f t="shared" si="4"/>
        <v>1</v>
      </c>
      <c r="AC43" s="1574">
        <f t="shared" si="5"/>
        <v>1</v>
      </c>
    </row>
    <row r="44" spans="1:29" ht="20.25">
      <c r="A44" s="596"/>
      <c r="B44" s="529" t="s">
        <v>556</v>
      </c>
      <c r="C44" s="3189" t="s">
        <v>3100</v>
      </c>
      <c r="D44" s="542">
        <v>100</v>
      </c>
      <c r="E44" s="3189" t="s">
        <v>3100</v>
      </c>
      <c r="F44" s="542">
        <f>SUMIF(127:127,E44,128:128)-SUMIF(127:127,C44,128:128)+100</f>
        <v>100</v>
      </c>
      <c r="G44" s="3189" t="s">
        <v>3100</v>
      </c>
      <c r="H44" s="542">
        <f>SUMIF(127:127,G44,128:128)-SUMIF(127:127,C44,128:128)+100</f>
        <v>100</v>
      </c>
      <c r="I44" s="3189" t="s">
        <v>3100</v>
      </c>
      <c r="J44" s="542">
        <f>SUMIF(127:127,I44,128:128)-SUMIF(127:127,C44,128:128)+100</f>
        <v>100</v>
      </c>
      <c r="K44" s="586">
        <v>2</v>
      </c>
      <c r="L44" s="2146"/>
      <c r="M44" s="2136"/>
      <c r="N44" s="2136"/>
      <c r="O44" s="2145"/>
      <c r="P44" s="3397" t="s">
        <v>551</v>
      </c>
      <c r="Q44" s="1575" t="str">
        <f t="shared" si="14"/>
        <v>工程地质条件</v>
      </c>
      <c r="R44" s="1576" t="s">
        <v>8</v>
      </c>
      <c r="S44" s="1577">
        <f t="shared" si="10"/>
        <v>100</v>
      </c>
      <c r="T44" s="1576" t="s">
        <v>8</v>
      </c>
      <c r="U44" s="1577">
        <f t="shared" si="11"/>
        <v>100</v>
      </c>
      <c r="V44" s="1576" t="s">
        <v>8</v>
      </c>
      <c r="W44" s="1577">
        <f t="shared" si="12"/>
        <v>100</v>
      </c>
      <c r="X44" s="1570"/>
      <c r="Y44" s="3397" t="s">
        <v>551</v>
      </c>
      <c r="Z44" s="1578" t="str">
        <f t="shared" si="13"/>
        <v>工程地质条件</v>
      </c>
      <c r="AA44" s="1579">
        <f t="shared" si="3"/>
        <v>1</v>
      </c>
      <c r="AB44" s="1579">
        <f t="shared" si="4"/>
        <v>1</v>
      </c>
      <c r="AC44" s="1579">
        <f t="shared" si="5"/>
        <v>1</v>
      </c>
    </row>
    <row r="45" spans="1:29" ht="20.25">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6"/>
      <c r="M45" s="2136"/>
      <c r="N45" s="2136"/>
      <c r="O45" s="2145"/>
      <c r="P45" s="3397"/>
      <c r="Q45" s="1575">
        <f t="shared" si="14"/>
        <v>111</v>
      </c>
      <c r="R45" s="1576" t="s">
        <v>8</v>
      </c>
      <c r="S45" s="1577">
        <f t="shared" si="10"/>
        <v>100</v>
      </c>
      <c r="T45" s="1576" t="s">
        <v>8</v>
      </c>
      <c r="U45" s="1577">
        <f t="shared" si="11"/>
        <v>100</v>
      </c>
      <c r="V45" s="1576" t="s">
        <v>8</v>
      </c>
      <c r="W45" s="1577">
        <f t="shared" si="12"/>
        <v>100</v>
      </c>
      <c r="X45" s="1570"/>
      <c r="Y45" s="3397"/>
      <c r="Z45" s="1578">
        <f t="shared" si="13"/>
        <v>111</v>
      </c>
      <c r="AA45" s="1579">
        <f t="shared" si="3"/>
        <v>1</v>
      </c>
      <c r="AB45" s="1579">
        <f t="shared" si="4"/>
        <v>1</v>
      </c>
      <c r="AC45" s="1579">
        <f t="shared" si="5"/>
        <v>1</v>
      </c>
    </row>
    <row r="46" spans="1:29" ht="20.25">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6"/>
      <c r="M46" s="2136"/>
      <c r="N46" s="2136"/>
      <c r="O46" s="2145"/>
      <c r="P46" s="3397"/>
      <c r="Q46" s="1575">
        <f t="shared" si="14"/>
        <v>111</v>
      </c>
      <c r="R46" s="1576" t="s">
        <v>8</v>
      </c>
      <c r="S46" s="1577">
        <f t="shared" si="10"/>
        <v>100</v>
      </c>
      <c r="T46" s="1576" t="s">
        <v>8</v>
      </c>
      <c r="U46" s="1577">
        <f t="shared" si="11"/>
        <v>100</v>
      </c>
      <c r="V46" s="1576" t="s">
        <v>8</v>
      </c>
      <c r="W46" s="1577">
        <f t="shared" si="12"/>
        <v>100</v>
      </c>
      <c r="X46" s="1570"/>
      <c r="Y46" s="3397"/>
      <c r="Z46" s="1578">
        <f t="shared" si="13"/>
        <v>111</v>
      </c>
      <c r="AA46" s="1579">
        <f t="shared" si="3"/>
        <v>1</v>
      </c>
      <c r="AB46" s="1579">
        <f t="shared" si="4"/>
        <v>1</v>
      </c>
      <c r="AC46" s="1579">
        <f t="shared" si="5"/>
        <v>1</v>
      </c>
    </row>
    <row r="47" spans="1:29" s="1341" customFormat="1" ht="2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4"/>
      <c r="M47" s="2136"/>
      <c r="N47" s="2136"/>
      <c r="O47" s="2147"/>
      <c r="P47" s="3397"/>
      <c r="Q47" s="1575">
        <f t="shared" si="14"/>
        <v>111</v>
      </c>
      <c r="R47" s="1580" t="s">
        <v>8</v>
      </c>
      <c r="S47" s="1581">
        <f t="shared" si="10"/>
        <v>100</v>
      </c>
      <c r="T47" s="1580" t="s">
        <v>8</v>
      </c>
      <c r="U47" s="1581">
        <f t="shared" si="11"/>
        <v>100</v>
      </c>
      <c r="V47" s="1580" t="s">
        <v>8</v>
      </c>
      <c r="W47" s="1581">
        <f t="shared" si="12"/>
        <v>100</v>
      </c>
      <c r="X47" s="1582"/>
      <c r="Y47" s="3397"/>
      <c r="Z47" s="1583">
        <f t="shared" si="13"/>
        <v>111</v>
      </c>
      <c r="AA47" s="1579">
        <f t="shared" si="3"/>
        <v>1</v>
      </c>
      <c r="AB47" s="1579">
        <f t="shared" si="4"/>
        <v>1</v>
      </c>
      <c r="AC47" s="1579">
        <f t="shared" si="5"/>
        <v>1</v>
      </c>
    </row>
    <row r="48" spans="1:29" ht="20.25">
      <c r="A48" s="609" t="s">
        <v>557</v>
      </c>
      <c r="B48" s="610" t="s">
        <v>3127</v>
      </c>
      <c r="C48" s="611" t="s">
        <v>1</v>
      </c>
      <c r="D48" s="612"/>
      <c r="E48" s="613">
        <f>ROUND(土地案例!N11,0)</f>
        <v>13371</v>
      </c>
      <c r="F48" s="614"/>
      <c r="G48" s="615">
        <f>ROUND(土地案例!N14,0)</f>
        <v>13016</v>
      </c>
      <c r="H48" s="616"/>
      <c r="I48" s="613">
        <f>ROUND(土地案例!N16,0)</f>
        <v>12600</v>
      </c>
      <c r="J48" s="616"/>
      <c r="K48" s="1342"/>
      <c r="L48" s="2148"/>
      <c r="M48" s="2136"/>
      <c r="N48" s="2136"/>
      <c r="O48" s="2149"/>
      <c r="P48" s="3360" t="str">
        <f>A48</f>
        <v>成交单价</v>
      </c>
      <c r="Q48" s="3360"/>
      <c r="R48" s="3361">
        <f>E48</f>
        <v>13371</v>
      </c>
      <c r="S48" s="3361"/>
      <c r="T48" s="3361">
        <f>G48</f>
        <v>13016</v>
      </c>
      <c r="U48" s="3361"/>
      <c r="V48" s="3361">
        <f>I48</f>
        <v>12600</v>
      </c>
      <c r="W48" s="3361"/>
      <c r="X48" s="1562"/>
      <c r="Y48" s="1584"/>
      <c r="Z48" s="1562"/>
      <c r="AA48" s="1562"/>
      <c r="AB48" s="1562"/>
      <c r="AC48" s="1562"/>
    </row>
    <row r="49" spans="1:29" ht="21" thickBot="1">
      <c r="A49" s="617" t="s">
        <v>2699</v>
      </c>
      <c r="B49" s="618"/>
      <c r="C49" s="619">
        <f>R50</f>
        <v>13599</v>
      </c>
      <c r="D49" s="620"/>
      <c r="E49" s="619">
        <f>R49</f>
        <v>13967</v>
      </c>
      <c r="F49" s="621"/>
      <c r="G49" s="622">
        <f>T49</f>
        <v>13596</v>
      </c>
      <c r="H49" s="620"/>
      <c r="I49" s="619">
        <f>V49</f>
        <v>13233</v>
      </c>
      <c r="J49" s="620"/>
      <c r="K49" s="1343"/>
      <c r="L49" s="2148"/>
      <c r="M49" s="2136"/>
      <c r="N49" s="2136"/>
      <c r="O49" s="2149"/>
      <c r="P49" s="3360" t="str">
        <f>A49</f>
        <v>比较价格（元/平方米）</v>
      </c>
      <c r="Q49" s="3360"/>
      <c r="R49" s="3362">
        <f>ROUND(PRODUCT(R48,AA9:AA47),0)</f>
        <v>13967</v>
      </c>
      <c r="S49" s="3362"/>
      <c r="T49" s="3362">
        <f>ROUND(PRODUCT(T48,AB9:AB47),0)</f>
        <v>13596</v>
      </c>
      <c r="U49" s="3362"/>
      <c r="V49" s="3362">
        <f>ROUND(PRODUCT(V48,AC9:AC47),0)</f>
        <v>13233</v>
      </c>
      <c r="W49" s="3362"/>
      <c r="X49" s="1562"/>
      <c r="Y49" s="1562"/>
      <c r="Z49" s="1562"/>
      <c r="AA49" s="1562"/>
      <c r="AB49" s="1562"/>
      <c r="AC49" s="1562"/>
    </row>
    <row r="50" spans="1:29" ht="21" thickBot="1">
      <c r="A50" s="623" t="s">
        <v>2942</v>
      </c>
      <c r="B50" s="624"/>
      <c r="C50" s="625">
        <f>R50</f>
        <v>13599</v>
      </c>
      <c r="D50" s="625"/>
      <c r="E50" s="625"/>
      <c r="F50" s="625"/>
      <c r="G50" s="625"/>
      <c r="H50" s="625"/>
      <c r="I50" s="625"/>
      <c r="J50" s="625"/>
      <c r="K50" s="1344"/>
      <c r="L50" s="2148"/>
      <c r="M50" s="2136"/>
      <c r="N50" s="2136"/>
      <c r="O50" s="2149"/>
      <c r="P50" s="3357" t="str">
        <f>A50</f>
        <v>估价对象XX用房的比较价格（楼面单价，元/平方米）</v>
      </c>
      <c r="Q50" s="3358"/>
      <c r="R50" s="3359">
        <f>ROUND(AVERAGE(R49:V49),0)</f>
        <v>13599</v>
      </c>
      <c r="S50" s="3359"/>
      <c r="T50" s="3359"/>
      <c r="U50" s="3359"/>
      <c r="V50" s="3359"/>
      <c r="W50" s="3359"/>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f>IF(E48&lt;E49,E49/E48-1,E48/E49-1)</f>
        <v>4.4574078229003167E-2</v>
      </c>
      <c r="F53" s="629" t="str">
        <f>IF(OR(E53&gt;=0.3,E53&lt;=-0.3),"超过30%","")</f>
        <v/>
      </c>
      <c r="G53" s="628">
        <f>IF(G48&lt;G49,G49/G48-1,G48/G49-1)</f>
        <v>4.4560540872772059E-2</v>
      </c>
      <c r="H53" s="629" t="str">
        <f>IF(OR(G53&gt;=0.3,G53&lt;=-0.3),"超过30%","")</f>
        <v/>
      </c>
      <c r="I53" s="628">
        <f>IF(I48&lt;I49,I49/I48-1,I48/I49-1)</f>
        <v>5.0238095238095193E-2</v>
      </c>
      <c r="J53" s="629"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f>IF(E49&lt;G49,G49/E49-1,E49/G49-1)</f>
        <v>2.7287437481612331E-2</v>
      </c>
      <c r="F54" s="629" t="str">
        <f>IF(OR(E54&gt;=0.2,E54&lt;=-0.2),"超过20%","")</f>
        <v/>
      </c>
      <c r="G54" s="628">
        <f>IF(G49&lt;I49,I49/G49-1,G49/I49-1)</f>
        <v>2.7431421446383997E-2</v>
      </c>
      <c r="H54" s="629" t="str">
        <f>IF(OR(G54&gt;=0.2,G54&lt;=-0.2),"超过20%","")</f>
        <v/>
      </c>
      <c r="I54" s="628">
        <f>IF(I49&lt;E49,E49/I49-1,I49/E49-1)</f>
        <v>5.5467392125746251E-2</v>
      </c>
      <c r="J54" s="629"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f>IF(E48&lt;G48,G48/E48-1,E48/G48-1)</f>
        <v>2.7274124154886392E-2</v>
      </c>
      <c r="F55" s="629" t="str">
        <f>IF(OR(E55&gt;=0.3,E55&lt;=-0.3),"超过30%","")</f>
        <v/>
      </c>
      <c r="G55" s="628">
        <f>IF(G48&lt;I48,I48/G48-1,G48/I48-1)</f>
        <v>3.3015873015872943E-2</v>
      </c>
      <c r="H55" s="629" t="str">
        <f>IF(OR(G55&gt;=0.3,G55&lt;=-0.3),"超过30%","")</f>
        <v/>
      </c>
      <c r="I55" s="628">
        <f>IF(I48&lt;E48,E48/I48-1,I48/E48-1)</f>
        <v>6.119047619047624E-2</v>
      </c>
      <c r="J55" s="629"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7"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1" t="s">
        <v>561</v>
      </c>
      <c r="B57" s="632" t="s">
        <v>562</v>
      </c>
      <c r="C57" s="1563" t="s">
        <v>1723</v>
      </c>
      <c r="D57" s="2231" t="s">
        <v>2294</v>
      </c>
      <c r="E57" s="633" t="s">
        <v>563</v>
      </c>
      <c r="F57" s="634" t="s">
        <v>564</v>
      </c>
      <c r="G57" s="3386" t="s">
        <v>2282</v>
      </c>
      <c r="H57" s="3387"/>
      <c r="I57" s="1558" t="s">
        <v>1721</v>
      </c>
      <c r="J57" s="1558">
        <f>项目基本情况!F41</f>
        <v>0</v>
      </c>
      <c r="K57" s="2158" t="s">
        <v>1722</v>
      </c>
      <c r="L57" s="2154"/>
      <c r="M57" s="2149"/>
      <c r="N57" s="2149"/>
      <c r="O57" s="2149"/>
      <c r="P57" s="2149"/>
      <c r="Q57" s="2149"/>
      <c r="R57" s="2149"/>
      <c r="S57" s="2149"/>
      <c r="T57" s="2149"/>
      <c r="U57" s="2149"/>
      <c r="V57" s="2149"/>
      <c r="W57" s="2149"/>
      <c r="X57" s="2149"/>
      <c r="Y57" s="2149"/>
      <c r="Z57" s="2149"/>
      <c r="AA57" s="2149"/>
      <c r="AB57" s="2149"/>
      <c r="AC57" s="2149"/>
    </row>
    <row r="58" spans="1:29" s="1348" customFormat="1" ht="12.75">
      <c r="A58" s="635" t="s">
        <v>565</v>
      </c>
      <c r="B58" s="636">
        <f>C50</f>
        <v>13599</v>
      </c>
      <c r="C58" s="637">
        <v>1</v>
      </c>
      <c r="D58" s="2232">
        <v>1</v>
      </c>
      <c r="E58" s="637">
        <f>'数据-汇总表'!E8+'数据-汇总表'!E9</f>
        <v>67668.149999999994</v>
      </c>
      <c r="F58" s="638">
        <f t="shared" ref="F58:F67" si="15">ROUND(B58*E58/10000,0)</f>
        <v>92022</v>
      </c>
      <c r="G58" s="3388"/>
      <c r="H58" s="3389"/>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566</v>
      </c>
      <c r="B59" s="640">
        <f>ROUND($C$50*C59*D59,0)</f>
        <v>2380</v>
      </c>
      <c r="C59" s="380">
        <f t="shared" ref="C59:C67" si="16">IF($C$57="北京市系数",I59,J59)</f>
        <v>0.7</v>
      </c>
      <c r="D59" s="2233">
        <v>0.25</v>
      </c>
      <c r="E59" s="641">
        <f>'数据-汇总表'!G20</f>
        <v>5601.71</v>
      </c>
      <c r="F59" s="638">
        <f t="shared" si="15"/>
        <v>1333</v>
      </c>
      <c r="G59" s="3390" t="s">
        <v>2283</v>
      </c>
      <c r="H59" s="1952" t="str">
        <f>项目基本情况!B43</f>
        <v>六级</v>
      </c>
      <c r="I59" s="1559">
        <f>SUMIF(修正!$A$45:$A$56,H59,修正!B45:B56)</f>
        <v>0.7</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567</v>
      </c>
      <c r="B60" s="640">
        <f t="shared" ref="B60:B67" si="17">ROUND($C$50*C60*D60,0)</f>
        <v>1360</v>
      </c>
      <c r="C60" s="380">
        <f t="shared" si="16"/>
        <v>0.4</v>
      </c>
      <c r="D60" s="2233">
        <v>0.25</v>
      </c>
      <c r="E60" s="641">
        <v>0</v>
      </c>
      <c r="F60" s="638">
        <f t="shared" si="15"/>
        <v>0</v>
      </c>
      <c r="G60" s="3390"/>
      <c r="H60" s="1952" t="str">
        <f>项目基本情况!B43</f>
        <v>六级</v>
      </c>
      <c r="I60" s="1559">
        <f>SUMIF(修正!$A$45:$A$56,H60,修正!C45:C56)</f>
        <v>0.4</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568</v>
      </c>
      <c r="B61" s="640">
        <f t="shared" si="17"/>
        <v>952</v>
      </c>
      <c r="C61" s="380">
        <f t="shared" si="16"/>
        <v>0.28000000000000003</v>
      </c>
      <c r="D61" s="2233">
        <v>0.25</v>
      </c>
      <c r="E61" s="641">
        <v>0</v>
      </c>
      <c r="F61" s="638">
        <f t="shared" si="15"/>
        <v>0</v>
      </c>
      <c r="G61" s="3390"/>
      <c r="H61" s="1952" t="str">
        <f>项目基本情况!B43</f>
        <v>六级</v>
      </c>
      <c r="I61" s="1559">
        <f>SUMIF(修正!$A$45:$A$56,H61,修正!D45:D56)</f>
        <v>0.28000000000000003</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2.75">
      <c r="A62" s="639" t="s">
        <v>569</v>
      </c>
      <c r="B62" s="640">
        <f t="shared" si="17"/>
        <v>850</v>
      </c>
      <c r="C62" s="380">
        <f t="shared" si="16"/>
        <v>0.25</v>
      </c>
      <c r="D62" s="2233">
        <v>0.25</v>
      </c>
      <c r="E62" s="641">
        <v>0</v>
      </c>
      <c r="F62" s="638">
        <f t="shared" si="15"/>
        <v>0</v>
      </c>
      <c r="G62" s="3390"/>
      <c r="H62" s="1952" t="str">
        <f>项目基本情况!B43</f>
        <v>六级</v>
      </c>
      <c r="I62" s="1559">
        <f>SUMIF(修正!$A$45:$A$56,H62,修正!E45:E56)</f>
        <v>0.25</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2.75">
      <c r="A63" s="2335" t="s">
        <v>2329</v>
      </c>
      <c r="B63" s="640">
        <f t="shared" si="17"/>
        <v>850</v>
      </c>
      <c r="C63" s="380">
        <f t="shared" si="16"/>
        <v>0.25</v>
      </c>
      <c r="D63" s="2233">
        <v>0.25</v>
      </c>
      <c r="E63" s="643">
        <f>'数据-汇总表'!E11</f>
        <v>0</v>
      </c>
      <c r="F63" s="638">
        <f t="shared" si="15"/>
        <v>0</v>
      </c>
      <c r="G63" s="1949" t="s">
        <v>2284</v>
      </c>
      <c r="H63" s="1952" t="str">
        <f>项目基本情况!C43</f>
        <v>六级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8" customFormat="1" ht="12.75">
      <c r="A64" s="639" t="s">
        <v>570</v>
      </c>
      <c r="B64" s="640">
        <f t="shared" si="17"/>
        <v>850</v>
      </c>
      <c r="C64" s="380">
        <f t="shared" si="16"/>
        <v>0.25</v>
      </c>
      <c r="D64" s="2233">
        <v>0.25</v>
      </c>
      <c r="E64" s="643">
        <f>'数据-汇总表'!E12</f>
        <v>0</v>
      </c>
      <c r="F64" s="638">
        <f t="shared" si="15"/>
        <v>0</v>
      </c>
      <c r="G64" s="1950" t="s">
        <v>1679</v>
      </c>
      <c r="H64" s="1948" t="str">
        <f>IF(G64="商业",项目基本情况!B43,IF(G64="办公",项目基本情况!C43,IF(G64="住宅",项目基本情况!D43,项目基本情况!E43)))</f>
        <v>六级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8" customFormat="1" ht="12.75">
      <c r="A65" s="639" t="s">
        <v>571</v>
      </c>
      <c r="B65" s="640">
        <f t="shared" si="17"/>
        <v>0</v>
      </c>
      <c r="C65" s="380">
        <f t="shared" si="16"/>
        <v>0</v>
      </c>
      <c r="D65" s="2233">
        <v>0.25</v>
      </c>
      <c r="E65" s="643">
        <f>'数据-汇总表'!E13</f>
        <v>0</v>
      </c>
      <c r="F65" s="638">
        <f t="shared" si="15"/>
        <v>0</v>
      </c>
      <c r="G65" s="1950" t="s">
        <v>924</v>
      </c>
      <c r="H65" s="1948">
        <f>IF(G65="商业",项目基本情况!B43,IF(G65="办公",项目基本情况!C43,IF(G65="住宅",项目基本情况!D43,项目基本情况!E43)))</f>
        <v>0</v>
      </c>
      <c r="I65" s="1559">
        <f>SUMIF(修正!$A$45:$A$56,H65,修正!H45:H56)</f>
        <v>0</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8" customFormat="1" ht="12.75">
      <c r="A66" s="639" t="s">
        <v>572</v>
      </c>
      <c r="B66" s="640">
        <f t="shared" si="17"/>
        <v>680</v>
      </c>
      <c r="C66" s="380">
        <f t="shared" si="16"/>
        <v>0.2</v>
      </c>
      <c r="D66" s="2233">
        <v>0.25</v>
      </c>
      <c r="E66" s="643">
        <f>'数据-汇总表'!E14</f>
        <v>0</v>
      </c>
      <c r="F66" s="638">
        <f t="shared" si="15"/>
        <v>0</v>
      </c>
      <c r="G66" s="1949" t="s">
        <v>2283</v>
      </c>
      <c r="H66" s="1952" t="str">
        <f>项目基本情况!B43</f>
        <v>六级</v>
      </c>
      <c r="I66" s="1559">
        <f>SUMIF(修正!$A$45:$A$56,H66,修正!H45:H56)</f>
        <v>0.2</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8" customFormat="1" ht="13.5" thickBot="1">
      <c r="A67" s="639" t="s">
        <v>573</v>
      </c>
      <c r="B67" s="640">
        <f t="shared" si="17"/>
        <v>680</v>
      </c>
      <c r="C67" s="380">
        <f t="shared" si="16"/>
        <v>0.2</v>
      </c>
      <c r="D67" s="2233">
        <v>0.25</v>
      </c>
      <c r="E67" s="643">
        <f>'数据-汇总表'!E15</f>
        <v>15772.600000000002</v>
      </c>
      <c r="F67" s="638">
        <f t="shared" si="15"/>
        <v>1073</v>
      </c>
      <c r="G67" s="1951" t="s">
        <v>2284</v>
      </c>
      <c r="H67" s="1953" t="str">
        <f>项目基本情况!C43</f>
        <v>六级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8" customFormat="1" ht="13.5" thickBot="1">
      <c r="A68" s="644" t="s">
        <v>574</v>
      </c>
      <c r="B68" s="645" t="s">
        <v>17</v>
      </c>
      <c r="C68" s="645" t="s">
        <v>18</v>
      </c>
      <c r="D68" s="645" t="s">
        <v>2295</v>
      </c>
      <c r="E68" s="645">
        <f>IF(B48="楼面地价",SUM(E58:E67),'数据-汇总表'!D3)</f>
        <v>89042.46</v>
      </c>
      <c r="F68" s="646">
        <f>IF(B48="楼面地价",SUM(F58:F67),ROUND(C50*E68/10000,0))</f>
        <v>94428</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2017-10-1</v>
      </c>
      <c r="D70" s="2829">
        <f>EDATE(C70,-3)</f>
        <v>42917</v>
      </c>
      <c r="E70" s="2829">
        <f t="shared" ref="E70:N70" si="18">EDATE(D70,-3)</f>
        <v>42826</v>
      </c>
      <c r="F70" s="2829">
        <f t="shared" si="18"/>
        <v>42736</v>
      </c>
      <c r="G70" s="2829">
        <f t="shared" si="18"/>
        <v>42644</v>
      </c>
      <c r="H70" s="2829">
        <f t="shared" si="18"/>
        <v>42552</v>
      </c>
      <c r="I70" s="2829">
        <f t="shared" si="18"/>
        <v>42461</v>
      </c>
      <c r="J70" s="2829">
        <f t="shared" si="18"/>
        <v>42370</v>
      </c>
      <c r="K70" s="2829">
        <f t="shared" si="18"/>
        <v>42278</v>
      </c>
      <c r="L70" s="2829">
        <f t="shared" si="18"/>
        <v>42186</v>
      </c>
      <c r="M70" s="2829">
        <f t="shared" si="18"/>
        <v>42095</v>
      </c>
      <c r="N70" s="2829">
        <f t="shared" si="18"/>
        <v>42005</v>
      </c>
      <c r="O70" s="2151">
        <f t="shared" ref="O70" si="19">EDATE(N70,-3)</f>
        <v>41913</v>
      </c>
      <c r="P70" s="2151">
        <f t="shared" ref="P70" si="20">EDATE(O70,-3)</f>
        <v>41821</v>
      </c>
      <c r="Q70" s="2151">
        <f t="shared" ref="Q70" si="21">EDATE(P70,-3)</f>
        <v>41730</v>
      </c>
      <c r="R70" s="2151">
        <f t="shared" ref="R70" si="22">EDATE(Q70,-3)</f>
        <v>41640</v>
      </c>
      <c r="S70" s="2151">
        <f t="shared" ref="S70" si="23">EDATE(R70,-3)</f>
        <v>41548</v>
      </c>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49" customFormat="1" ht="28.5">
      <c r="A72" s="2596" t="s">
        <v>2536</v>
      </c>
      <c r="B72" s="2597"/>
      <c r="C72" s="2824" t="str">
        <f>YEAR(C70)&amp;"-"&amp;ROUNDUP(MONTH(C70)/3,0)</f>
        <v>2017-4</v>
      </c>
      <c r="D72" s="2831" t="str">
        <f>YEAR(D70)&amp;"-"&amp;ROUNDUP(MONTH(D70)/3,0)</f>
        <v>2017-3</v>
      </c>
      <c r="E72" s="2831" t="str">
        <f t="shared" ref="E72:S72" si="24">YEAR(E70)&amp;"-"&amp;ROUNDUP(MONTH(E70)/3,0)</f>
        <v>2017-2</v>
      </c>
      <c r="F72" s="2831" t="str">
        <f t="shared" si="24"/>
        <v>2017-1</v>
      </c>
      <c r="G72" s="2831" t="str">
        <f t="shared" si="24"/>
        <v>2016-4</v>
      </c>
      <c r="H72" s="2831" t="str">
        <f t="shared" si="24"/>
        <v>2016-3</v>
      </c>
      <c r="I72" s="2831" t="str">
        <f t="shared" si="24"/>
        <v>2016-2</v>
      </c>
      <c r="J72" s="2831" t="str">
        <f t="shared" si="24"/>
        <v>2016-1</v>
      </c>
      <c r="K72" s="2831" t="str">
        <f t="shared" si="24"/>
        <v>2015-4</v>
      </c>
      <c r="L72" s="2831" t="str">
        <f t="shared" si="24"/>
        <v>2015-3</v>
      </c>
      <c r="M72" s="2831" t="str">
        <f t="shared" si="24"/>
        <v>2015-2</v>
      </c>
      <c r="N72" s="2831" t="str">
        <f t="shared" si="24"/>
        <v>2015-1</v>
      </c>
      <c r="O72" s="3181" t="str">
        <f t="shared" si="24"/>
        <v>2014-4</v>
      </c>
      <c r="P72" s="3181" t="str">
        <f t="shared" si="24"/>
        <v>2014-3</v>
      </c>
      <c r="Q72" s="3181" t="str">
        <f t="shared" si="24"/>
        <v>2014-2</v>
      </c>
      <c r="R72" s="3181" t="str">
        <f t="shared" si="24"/>
        <v>2014-1</v>
      </c>
      <c r="S72" s="3181" t="str">
        <f t="shared" si="24"/>
        <v>2013-4</v>
      </c>
      <c r="T72" s="2165"/>
      <c r="U72" s="2165"/>
      <c r="V72" s="2165"/>
      <c r="W72" s="2165"/>
      <c r="X72" s="2165"/>
      <c r="Y72" s="2165"/>
      <c r="Z72" s="2165"/>
      <c r="AA72" s="2165"/>
      <c r="AB72" s="2165"/>
      <c r="AC72" s="2165"/>
    </row>
    <row r="73" spans="1:29" s="1222" customFormat="1" ht="27" customHeight="1">
      <c r="A73" s="2836" t="s">
        <v>2653</v>
      </c>
      <c r="B73" s="481" t="str">
        <f>"北京市平均增长率"&amp;TEXT(SUMIF(基准地价!N21:N25,A73,基准地价!P21:P25),"0.00%")</f>
        <v>北京市平均增长率2.49%</v>
      </c>
      <c r="C73" s="896">
        <v>100</v>
      </c>
      <c r="D73" s="652">
        <v>99.5</v>
      </c>
      <c r="E73" s="891">
        <v>99</v>
      </c>
      <c r="F73" s="652">
        <v>98.5</v>
      </c>
      <c r="G73" s="891">
        <v>98</v>
      </c>
      <c r="H73" s="652">
        <v>97.5</v>
      </c>
      <c r="I73" s="891">
        <v>97</v>
      </c>
      <c r="J73" s="652">
        <v>96.5</v>
      </c>
      <c r="K73" s="891">
        <v>96</v>
      </c>
      <c r="L73" s="652">
        <v>95.5</v>
      </c>
      <c r="M73" s="891">
        <v>95</v>
      </c>
      <c r="N73" s="652">
        <v>94.5</v>
      </c>
      <c r="O73" s="891">
        <v>94</v>
      </c>
      <c r="P73" s="652">
        <v>93.5</v>
      </c>
      <c r="Q73" s="891">
        <v>93</v>
      </c>
      <c r="R73" s="652">
        <v>92.5</v>
      </c>
      <c r="S73" s="891">
        <v>92</v>
      </c>
      <c r="T73" s="1997"/>
      <c r="U73" s="1997"/>
      <c r="V73" s="1997"/>
      <c r="W73" s="1997"/>
      <c r="X73" s="1997"/>
      <c r="Y73" s="1997"/>
      <c r="Z73" s="1997"/>
      <c r="AA73" s="1997"/>
      <c r="AB73" s="1997"/>
      <c r="AC73" s="1997"/>
    </row>
    <row r="74" spans="1:29" s="1222" customFormat="1" ht="15" customHeight="1" thickBot="1">
      <c r="A74" s="2826" t="s">
        <v>2652</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66"/>
      <c r="O75" s="2166"/>
      <c r="P75" s="2167"/>
      <c r="Q75" s="2162"/>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66"/>
      <c r="O76" s="2166"/>
      <c r="P76" s="2162"/>
      <c r="Q76" s="2162"/>
      <c r="R76" s="1997"/>
      <c r="S76" s="1997"/>
      <c r="T76" s="1997"/>
      <c r="U76" s="1997"/>
      <c r="V76" s="1997"/>
      <c r="W76" s="1997"/>
      <c r="X76" s="1997"/>
      <c r="Y76" s="1997"/>
      <c r="Z76" s="1997"/>
      <c r="AA76" s="1997"/>
      <c r="AB76" s="1997"/>
      <c r="AC76" s="1997"/>
    </row>
    <row r="77" spans="1:29">
      <c r="A77" s="666" t="s">
        <v>578</v>
      </c>
      <c r="B77" s="667" t="s">
        <v>535</v>
      </c>
      <c r="C77" s="3182" t="s">
        <v>3095</v>
      </c>
      <c r="D77" s="60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73">
        <v>100</v>
      </c>
      <c r="D78" s="673"/>
      <c r="E78" s="673"/>
      <c r="F78" s="673"/>
      <c r="G78" s="673"/>
      <c r="H78" s="673"/>
      <c r="I78" s="673"/>
      <c r="J78" s="673"/>
      <c r="K78" s="673"/>
      <c r="L78" s="673"/>
      <c r="M78" s="674"/>
      <c r="N78" s="2170"/>
      <c r="O78" s="2170"/>
      <c r="P78" s="2169"/>
      <c r="Q78" s="2162"/>
      <c r="R78" s="2149"/>
      <c r="S78" s="2149"/>
      <c r="T78" s="2149"/>
      <c r="U78" s="2149"/>
      <c r="V78" s="2149"/>
      <c r="W78" s="2149"/>
      <c r="X78" s="2149"/>
      <c r="Y78" s="2149"/>
      <c r="Z78" s="2149"/>
      <c r="AA78" s="2149"/>
      <c r="AB78" s="2149"/>
      <c r="AC78" s="2149"/>
    </row>
    <row r="79" spans="1:29" ht="27.75" thickTop="1">
      <c r="A79" s="671"/>
      <c r="B79" s="675" t="s">
        <v>538</v>
      </c>
      <c r="C79" s="676"/>
      <c r="D79" s="676"/>
      <c r="E79" s="676"/>
      <c r="F79" s="676"/>
      <c r="G79" s="676"/>
      <c r="H79" s="676"/>
      <c r="I79" s="676"/>
      <c r="J79" s="676"/>
      <c r="K79" s="677"/>
      <c r="L79" s="678"/>
      <c r="M79" s="679"/>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c r="D80" s="681"/>
      <c r="E80" s="681"/>
      <c r="F80" s="681"/>
      <c r="G80" s="681"/>
      <c r="H80" s="681"/>
      <c r="I80" s="681"/>
      <c r="J80" s="681"/>
      <c r="K80" s="681"/>
      <c r="L80" s="681"/>
      <c r="M80" s="682"/>
      <c r="N80" s="2170"/>
      <c r="O80" s="2170"/>
      <c r="P80" s="2169"/>
      <c r="Q80" s="2162"/>
      <c r="R80" s="2149"/>
      <c r="S80" s="2149"/>
      <c r="T80" s="2149"/>
      <c r="U80" s="2149"/>
      <c r="V80" s="2149"/>
      <c r="W80" s="2149"/>
      <c r="X80" s="2149"/>
      <c r="Y80" s="2149"/>
      <c r="Z80" s="2149"/>
      <c r="AA80" s="2149"/>
      <c r="AB80" s="2149"/>
      <c r="AC80" s="2149"/>
    </row>
    <row r="81" spans="1:29" ht="15.75" thickTop="1">
      <c r="A81" s="671"/>
      <c r="B81" s="683" t="s">
        <v>539</v>
      </c>
      <c r="C81" s="684" t="str">
        <f>C82&amp;"（含）"&amp;"-"&amp;D82</f>
        <v>1（含）-2</v>
      </c>
      <c r="D81" s="684" t="str">
        <f t="shared" ref="D81:L81" si="25">D82&amp;"（含）"&amp;"-"&amp;E82</f>
        <v>2（含）-3</v>
      </c>
      <c r="E81" s="684" t="str">
        <f t="shared" si="25"/>
        <v>3（含）-4</v>
      </c>
      <c r="F81" s="684" t="str">
        <f t="shared" si="25"/>
        <v>4（含）-5</v>
      </c>
      <c r="G81" s="684" t="str">
        <f t="shared" si="25"/>
        <v>5（含）-6</v>
      </c>
      <c r="H81" s="684" t="str">
        <f t="shared" si="25"/>
        <v>6（含）-7</v>
      </c>
      <c r="I81" s="684" t="str">
        <f t="shared" si="25"/>
        <v>7（含）-8</v>
      </c>
      <c r="J81" s="684" t="str">
        <f t="shared" si="25"/>
        <v>8（含）-9</v>
      </c>
      <c r="K81" s="684" t="str">
        <f t="shared" si="25"/>
        <v>9（含）-10</v>
      </c>
      <c r="L81" s="684" t="str">
        <f t="shared" si="25"/>
        <v>10（含）-11</v>
      </c>
      <c r="M81" s="557" t="str">
        <f>M82&amp;"（含）"&amp;"-"&amp;P82</f>
        <v>11（含）-</v>
      </c>
      <c r="N81" s="2170"/>
      <c r="O81" s="2170"/>
      <c r="P81" s="2169"/>
      <c r="Q81" s="2162"/>
      <c r="R81" s="2149"/>
      <c r="S81" s="2149"/>
      <c r="T81" s="2149"/>
      <c r="U81" s="2149"/>
      <c r="V81" s="2149"/>
      <c r="W81" s="2149"/>
      <c r="X81" s="2149"/>
      <c r="Y81" s="2149"/>
      <c r="Z81" s="2149"/>
      <c r="AA81" s="2149"/>
      <c r="AB81" s="2149"/>
      <c r="AC81" s="2149"/>
    </row>
    <row r="82" spans="1:29" ht="15">
      <c r="A82" s="671"/>
      <c r="B82" s="685"/>
      <c r="C82" s="543">
        <v>1</v>
      </c>
      <c r="D82" s="543">
        <v>2</v>
      </c>
      <c r="E82" s="543">
        <v>3</v>
      </c>
      <c r="F82" s="543">
        <v>4</v>
      </c>
      <c r="G82" s="543">
        <v>5</v>
      </c>
      <c r="H82" s="543">
        <v>6</v>
      </c>
      <c r="I82" s="543">
        <v>7</v>
      </c>
      <c r="J82" s="543">
        <v>8</v>
      </c>
      <c r="K82" s="686">
        <v>9</v>
      </c>
      <c r="L82" s="687">
        <v>10</v>
      </c>
      <c r="M82" s="688">
        <v>11</v>
      </c>
      <c r="N82" s="2168"/>
      <c r="O82" s="2168"/>
      <c r="P82" s="2169"/>
      <c r="Q82" s="2162"/>
      <c r="R82" s="2149"/>
      <c r="S82" s="2149"/>
      <c r="T82" s="2149"/>
      <c r="U82" s="2149"/>
      <c r="V82" s="2149"/>
      <c r="W82" s="2149"/>
      <c r="X82" s="2149"/>
      <c r="Y82" s="2149"/>
      <c r="Z82" s="2149"/>
      <c r="AA82" s="2149"/>
      <c r="AB82" s="2149"/>
      <c r="AC82" s="2149"/>
    </row>
    <row r="83" spans="1:29" ht="15.75" thickBot="1">
      <c r="A83" s="671"/>
      <c r="B83" s="672"/>
      <c r="C83" s="681">
        <v>100</v>
      </c>
      <c r="D83" s="681">
        <f>IF($B$48="单位面积地价",C83+$K13,C83-$K13)</f>
        <v>99</v>
      </c>
      <c r="E83" s="681">
        <f t="shared" ref="E83:M83" si="26">IF($B$48="单位面积地价",D83+$K13,D83-$K13)</f>
        <v>98</v>
      </c>
      <c r="F83" s="681">
        <f t="shared" si="26"/>
        <v>97</v>
      </c>
      <c r="G83" s="681">
        <f t="shared" si="26"/>
        <v>96</v>
      </c>
      <c r="H83" s="681">
        <f t="shared" si="26"/>
        <v>95</v>
      </c>
      <c r="I83" s="681">
        <f t="shared" si="26"/>
        <v>94</v>
      </c>
      <c r="J83" s="681">
        <f t="shared" si="26"/>
        <v>93</v>
      </c>
      <c r="K83" s="681">
        <f t="shared" si="26"/>
        <v>92</v>
      </c>
      <c r="L83" s="681">
        <f t="shared" si="26"/>
        <v>91</v>
      </c>
      <c r="M83" s="681">
        <f t="shared" si="26"/>
        <v>90</v>
      </c>
      <c r="N83" s="2170"/>
      <c r="O83" s="2170"/>
      <c r="P83" s="2169"/>
      <c r="Q83" s="2162"/>
      <c r="R83" s="2149"/>
      <c r="S83" s="2149"/>
      <c r="T83" s="2149"/>
      <c r="U83" s="2149"/>
      <c r="V83" s="2149"/>
      <c r="W83" s="2149"/>
      <c r="X83" s="2149"/>
      <c r="Y83" s="2149"/>
      <c r="Z83" s="2149"/>
      <c r="AA83" s="2149"/>
      <c r="AB83" s="2149"/>
      <c r="AC83" s="2149"/>
    </row>
    <row r="84" spans="1:29" s="1341" customFormat="1" ht="15.75" thickTop="1">
      <c r="A84" s="689"/>
      <c r="B84" s="675" t="str">
        <f>B14</f>
        <v>配建</v>
      </c>
      <c r="C84" s="690"/>
      <c r="D84" s="1378"/>
      <c r="E84" s="1379"/>
      <c r="F84" s="690"/>
      <c r="G84" s="690"/>
      <c r="H84" s="691"/>
      <c r="I84" s="691"/>
      <c r="J84" s="691"/>
      <c r="K84" s="691"/>
      <c r="L84" s="692"/>
      <c r="M84" s="6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0"/>
      <c r="O85" s="2170"/>
      <c r="P85" s="2172"/>
      <c r="Q85" s="2173"/>
      <c r="R85" s="2174"/>
      <c r="S85" s="2174"/>
      <c r="T85" s="2174"/>
      <c r="U85" s="2174"/>
      <c r="V85" s="2174"/>
      <c r="W85" s="2174"/>
      <c r="X85" s="2174"/>
      <c r="Y85" s="2174"/>
      <c r="Z85" s="2174"/>
      <c r="AA85" s="2174"/>
      <c r="AB85" s="2174"/>
      <c r="AC85" s="2174"/>
    </row>
    <row r="86" spans="1:29" s="1341" customFormat="1" ht="15.75" thickTop="1">
      <c r="A86" s="689"/>
      <c r="B86" s="675">
        <f>B15</f>
        <v>111</v>
      </c>
      <c r="C86" s="690"/>
      <c r="D86" s="690"/>
      <c r="E86" s="690"/>
      <c r="F86" s="690"/>
      <c r="G86" s="690"/>
      <c r="H86" s="691"/>
      <c r="I86" s="691"/>
      <c r="J86" s="691"/>
      <c r="K86" s="691"/>
      <c r="L86" s="692"/>
      <c r="M86" s="693"/>
      <c r="N86" s="2171"/>
      <c r="O86" s="2171"/>
      <c r="P86" s="2175"/>
      <c r="Q86" s="2176"/>
      <c r="R86" s="2174"/>
      <c r="S86" s="2174"/>
      <c r="T86" s="2174"/>
      <c r="U86" s="2174"/>
      <c r="V86" s="2174"/>
      <c r="W86" s="2174"/>
      <c r="X86" s="2174"/>
      <c r="Y86" s="2174"/>
      <c r="Z86" s="2174"/>
      <c r="AA86" s="2174"/>
      <c r="AB86" s="2174"/>
      <c r="AC86" s="2174"/>
    </row>
    <row r="87" spans="1:29" s="1341" customFormat="1" ht="15.75" thickBot="1">
      <c r="A87" s="689"/>
      <c r="B87" s="680"/>
      <c r="C87" s="694"/>
      <c r="D87" s="694"/>
      <c r="E87" s="694"/>
      <c r="F87" s="694"/>
      <c r="G87" s="694"/>
      <c r="H87" s="695"/>
      <c r="I87" s="695"/>
      <c r="J87" s="695"/>
      <c r="K87" s="695"/>
      <c r="L87" s="695"/>
      <c r="M87" s="696"/>
      <c r="N87" s="2171"/>
      <c r="O87" s="2171"/>
      <c r="P87" s="2172"/>
      <c r="Q87" s="2173"/>
      <c r="R87" s="2174"/>
      <c r="S87" s="2174"/>
      <c r="T87" s="2174"/>
      <c r="U87" s="2174"/>
      <c r="V87" s="2174"/>
      <c r="W87" s="2174"/>
      <c r="X87" s="2174"/>
      <c r="Y87" s="2174"/>
      <c r="Z87" s="2174"/>
      <c r="AA87" s="2174"/>
      <c r="AB87" s="2174"/>
      <c r="AC87" s="2174"/>
    </row>
    <row r="88" spans="1:29" s="1341" customFormat="1" ht="15.75" thickTop="1">
      <c r="A88" s="689"/>
      <c r="B88" s="683">
        <f>B16</f>
        <v>111</v>
      </c>
      <c r="C88" s="663"/>
      <c r="D88" s="663"/>
      <c r="E88" s="663"/>
      <c r="F88" s="663"/>
      <c r="G88" s="663"/>
      <c r="H88" s="697"/>
      <c r="I88" s="697"/>
      <c r="J88" s="697"/>
      <c r="K88" s="697"/>
      <c r="L88" s="698"/>
      <c r="M88" s="699"/>
      <c r="N88" s="2171"/>
      <c r="O88" s="2171"/>
      <c r="P88" s="2177"/>
      <c r="Q88" s="2173"/>
      <c r="R88" s="2174"/>
      <c r="S88" s="2174"/>
      <c r="T88" s="2174"/>
      <c r="U88" s="2174"/>
      <c r="V88" s="2174"/>
      <c r="W88" s="2174"/>
      <c r="X88" s="2174"/>
      <c r="Y88" s="2174"/>
      <c r="Z88" s="2174"/>
      <c r="AA88" s="2174"/>
      <c r="AB88" s="2174"/>
      <c r="AC88" s="2174"/>
    </row>
    <row r="89" spans="1:29" s="1341" customFormat="1" ht="15.75" thickBot="1">
      <c r="A89" s="700"/>
      <c r="B89" s="701"/>
      <c r="C89" s="702"/>
      <c r="D89" s="702"/>
      <c r="E89" s="702"/>
      <c r="F89" s="702"/>
      <c r="G89" s="702"/>
      <c r="H89" s="703"/>
      <c r="I89" s="703"/>
      <c r="J89" s="703"/>
      <c r="K89" s="703"/>
      <c r="L89" s="703"/>
      <c r="M89" s="704"/>
      <c r="N89" s="2171"/>
      <c r="O89" s="2171"/>
      <c r="P89" s="2172"/>
      <c r="Q89" s="2173"/>
      <c r="R89" s="2174"/>
      <c r="S89" s="2174"/>
      <c r="T89" s="2174"/>
      <c r="U89" s="2174"/>
      <c r="V89" s="2174"/>
      <c r="W89" s="2174"/>
      <c r="X89" s="2174"/>
      <c r="Y89" s="2174"/>
      <c r="Z89" s="2174"/>
      <c r="AA89" s="2174"/>
      <c r="AB89" s="2174"/>
      <c r="AC89" s="2174"/>
    </row>
    <row r="90" spans="1:29">
      <c r="A90" s="666" t="s">
        <v>540</v>
      </c>
      <c r="B90" s="667" t="s">
        <v>579</v>
      </c>
      <c r="C90" s="705" t="s">
        <v>580</v>
      </c>
      <c r="D90" s="705" t="s">
        <v>581</v>
      </c>
      <c r="E90" s="705" t="s">
        <v>582</v>
      </c>
      <c r="F90" s="705" t="s">
        <v>583</v>
      </c>
      <c r="G90" s="705" t="s">
        <v>584</v>
      </c>
      <c r="H90" s="706"/>
      <c r="I90" s="706"/>
      <c r="J90" s="706"/>
      <c r="K90" s="707"/>
      <c r="L90" s="708"/>
      <c r="M90" s="709"/>
      <c r="N90" s="2168"/>
      <c r="O90" s="2168"/>
      <c r="P90" s="2178"/>
      <c r="Q90" s="2162"/>
      <c r="R90" s="2149"/>
      <c r="S90" s="2149"/>
      <c r="T90" s="2149"/>
      <c r="U90" s="2149"/>
      <c r="V90" s="2149"/>
      <c r="W90" s="2149"/>
      <c r="X90" s="2149"/>
      <c r="Y90" s="2149"/>
      <c r="Z90" s="2149"/>
      <c r="AA90" s="2149"/>
      <c r="AB90" s="2149"/>
      <c r="AC90" s="2149"/>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0"/>
      <c r="O91" s="2170"/>
      <c r="P91" s="2169"/>
      <c r="Q91" s="2162"/>
      <c r="R91" s="2149"/>
      <c r="S91" s="2149"/>
      <c r="T91" s="2149"/>
      <c r="U91" s="2149"/>
      <c r="V91" s="2149"/>
      <c r="W91" s="2149"/>
      <c r="X91" s="2149"/>
      <c r="Y91" s="2149"/>
      <c r="Z91" s="2149"/>
      <c r="AA91" s="2149"/>
      <c r="AB91" s="2149"/>
      <c r="AC91" s="2149"/>
    </row>
    <row r="92" spans="1:29" ht="15.75" thickTop="1">
      <c r="A92" s="671"/>
      <c r="B92" s="675" t="s">
        <v>585</v>
      </c>
      <c r="C92" s="710" t="s">
        <v>580</v>
      </c>
      <c r="D92" s="710" t="s">
        <v>581</v>
      </c>
      <c r="E92" s="710" t="s">
        <v>582</v>
      </c>
      <c r="F92" s="710" t="s">
        <v>583</v>
      </c>
      <c r="G92" s="710" t="s">
        <v>584</v>
      </c>
      <c r="H92" s="676"/>
      <c r="I92" s="676"/>
      <c r="J92" s="676"/>
      <c r="K92" s="677"/>
      <c r="L92" s="678"/>
      <c r="M92" s="679"/>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81">
        <v>100</v>
      </c>
      <c r="D93" s="681">
        <f>C93-$K19</f>
        <v>98</v>
      </c>
      <c r="E93" s="681">
        <f>D93-$K19</f>
        <v>96</v>
      </c>
      <c r="F93" s="681">
        <f>E93-$K19</f>
        <v>94</v>
      </c>
      <c r="G93" s="681">
        <f>F93-$K19</f>
        <v>92</v>
      </c>
      <c r="H93" s="681"/>
      <c r="I93" s="681"/>
      <c r="J93" s="681"/>
      <c r="K93" s="681"/>
      <c r="L93" s="681"/>
      <c r="M93" s="682"/>
      <c r="N93" s="2170"/>
      <c r="O93" s="2170"/>
      <c r="P93" s="2169"/>
      <c r="Q93" s="2162"/>
      <c r="R93" s="2149"/>
      <c r="S93" s="2149"/>
      <c r="T93" s="2149"/>
      <c r="U93" s="2149"/>
      <c r="V93" s="2149"/>
      <c r="W93" s="2149"/>
      <c r="X93" s="2149"/>
      <c r="Y93" s="2149"/>
      <c r="Z93" s="2149"/>
      <c r="AA93" s="2149"/>
      <c r="AB93" s="2149"/>
      <c r="AC93" s="2149"/>
    </row>
    <row r="94" spans="1:29" ht="15.75" thickTop="1">
      <c r="A94" s="671"/>
      <c r="B94" s="675" t="s">
        <v>586</v>
      </c>
      <c r="C94" s="710" t="s">
        <v>580</v>
      </c>
      <c r="D94" s="710" t="s">
        <v>581</v>
      </c>
      <c r="E94" s="710" t="s">
        <v>582</v>
      </c>
      <c r="F94" s="710" t="s">
        <v>583</v>
      </c>
      <c r="G94" s="710" t="s">
        <v>584</v>
      </c>
      <c r="H94" s="676"/>
      <c r="I94" s="676"/>
      <c r="J94" s="676"/>
      <c r="K94" s="677"/>
      <c r="L94" s="678"/>
      <c r="M94" s="679"/>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81">
        <v>100</v>
      </c>
      <c r="D95" s="681">
        <f>C95-$K21</f>
        <v>98</v>
      </c>
      <c r="E95" s="681">
        <f>D95-$K21</f>
        <v>96</v>
      </c>
      <c r="F95" s="681">
        <f>E95-$K21</f>
        <v>94</v>
      </c>
      <c r="G95" s="681">
        <f>F95-$K21</f>
        <v>92</v>
      </c>
      <c r="H95" s="681"/>
      <c r="I95" s="681"/>
      <c r="J95" s="681"/>
      <c r="K95" s="681"/>
      <c r="L95" s="681"/>
      <c r="M95" s="682"/>
      <c r="N95" s="2170"/>
      <c r="O95" s="2170"/>
      <c r="P95" s="2169"/>
      <c r="Q95" s="2162"/>
      <c r="R95" s="2149"/>
      <c r="S95" s="2149"/>
      <c r="T95" s="2149"/>
      <c r="U95" s="2149"/>
      <c r="V95" s="2149"/>
      <c r="W95" s="2149"/>
      <c r="X95" s="2149"/>
      <c r="Y95" s="2149"/>
      <c r="Z95" s="2149"/>
      <c r="AA95" s="2149"/>
      <c r="AB95" s="2149"/>
      <c r="AC95" s="2149"/>
    </row>
    <row r="96" spans="1:29" ht="15.75" thickTop="1">
      <c r="A96" s="671"/>
      <c r="B96" s="675" t="s">
        <v>587</v>
      </c>
      <c r="C96" s="710" t="s">
        <v>580</v>
      </c>
      <c r="D96" s="710" t="s">
        <v>581</v>
      </c>
      <c r="E96" s="710" t="s">
        <v>582</v>
      </c>
      <c r="F96" s="710" t="s">
        <v>583</v>
      </c>
      <c r="G96" s="710" t="s">
        <v>584</v>
      </c>
      <c r="H96" s="676"/>
      <c r="I96" s="676"/>
      <c r="J96" s="676"/>
      <c r="K96" s="677"/>
      <c r="L96" s="678"/>
      <c r="M96" s="679"/>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81">
        <v>100</v>
      </c>
      <c r="D97" s="681">
        <f>C97-$K23</f>
        <v>98</v>
      </c>
      <c r="E97" s="681">
        <f>D97-$K23</f>
        <v>96</v>
      </c>
      <c r="F97" s="681">
        <f>E97-$K23</f>
        <v>94</v>
      </c>
      <c r="G97" s="681">
        <f>F97-$K23</f>
        <v>92</v>
      </c>
      <c r="H97" s="681"/>
      <c r="I97" s="681"/>
      <c r="J97" s="681"/>
      <c r="K97" s="681"/>
      <c r="L97" s="681"/>
      <c r="M97" s="682"/>
      <c r="N97" s="2170"/>
      <c r="O97" s="2170"/>
      <c r="P97" s="2169"/>
      <c r="Q97" s="2162"/>
      <c r="R97" s="2149"/>
      <c r="S97" s="2149"/>
      <c r="T97" s="2149"/>
      <c r="U97" s="2149"/>
      <c r="V97" s="2149"/>
      <c r="W97" s="2149"/>
      <c r="X97" s="2149"/>
      <c r="Y97" s="2149"/>
      <c r="Z97" s="2149"/>
      <c r="AA97" s="2149"/>
      <c r="AB97" s="2149"/>
      <c r="AC97" s="2149"/>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6"/>
      <c r="O98" s="2166"/>
      <c r="P98" s="2169"/>
      <c r="Q98" s="2162"/>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0"/>
      <c r="O99" s="2170"/>
      <c r="P99" s="2169"/>
      <c r="Q99" s="2162"/>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6"/>
      <c r="O100" s="2166"/>
      <c r="P100" s="2169"/>
      <c r="Q100" s="2162"/>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0"/>
      <c r="O101" s="2170"/>
      <c r="P101" s="2169"/>
      <c r="Q101" s="2162"/>
      <c r="R101" s="1997"/>
      <c r="S101" s="1997"/>
      <c r="T101" s="1997"/>
      <c r="U101" s="1997"/>
      <c r="V101" s="1997"/>
      <c r="W101" s="1997"/>
      <c r="X101" s="1997"/>
      <c r="Y101" s="1997"/>
      <c r="Z101" s="1997"/>
      <c r="AA101" s="1997"/>
      <c r="AB101" s="1997"/>
      <c r="AC101" s="1997"/>
    </row>
    <row r="102" spans="1:29" s="1341" customFormat="1" ht="15.75" thickTop="1">
      <c r="A102" s="689"/>
      <c r="B102" s="1900" t="s">
        <v>2552</v>
      </c>
      <c r="C102" s="705" t="s">
        <v>580</v>
      </c>
      <c r="D102" s="705" t="s">
        <v>581</v>
      </c>
      <c r="E102" s="705" t="s">
        <v>582</v>
      </c>
      <c r="F102" s="705" t="s">
        <v>583</v>
      </c>
      <c r="G102" s="705" t="s">
        <v>584</v>
      </c>
      <c r="H102" s="715"/>
      <c r="I102" s="715"/>
      <c r="J102" s="715"/>
      <c r="K102" s="715"/>
      <c r="L102" s="716"/>
      <c r="M102" s="717"/>
      <c r="N102" s="2171"/>
      <c r="O102" s="2171"/>
      <c r="P102" s="2172"/>
      <c r="Q102" s="2173"/>
      <c r="R102" s="2174"/>
      <c r="S102" s="2174"/>
      <c r="T102" s="2174"/>
      <c r="U102" s="2174"/>
      <c r="V102" s="2174"/>
      <c r="W102" s="2174"/>
      <c r="X102" s="2174"/>
      <c r="Y102" s="2174"/>
      <c r="Z102" s="2174"/>
      <c r="AA102" s="2174"/>
      <c r="AB102" s="2174"/>
      <c r="AC102" s="2174"/>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Top="1">
      <c r="A104" s="689"/>
      <c r="B104" s="2625" t="s">
        <v>2554</v>
      </c>
      <c r="C104" s="2626" t="s">
        <v>2555</v>
      </c>
      <c r="D104" s="2626" t="s">
        <v>2556</v>
      </c>
      <c r="E104" s="2626" t="s">
        <v>2557</v>
      </c>
      <c r="F104" s="2626" t="s">
        <v>2558</v>
      </c>
      <c r="G104" s="2626" t="s">
        <v>2559</v>
      </c>
      <c r="H104" s="715"/>
      <c r="I104" s="715"/>
      <c r="J104" s="715"/>
      <c r="K104" s="715"/>
      <c r="L104" s="715"/>
      <c r="M104" s="717"/>
      <c r="N104" s="2171"/>
      <c r="O104" s="2171"/>
      <c r="P104" s="2172"/>
      <c r="Q104" s="2173"/>
      <c r="R104" s="2174"/>
      <c r="S104" s="2174"/>
      <c r="T104" s="2174"/>
      <c r="U104" s="2174"/>
      <c r="V104" s="2174"/>
      <c r="W104" s="2174"/>
      <c r="X104" s="2174"/>
      <c r="Y104" s="2174"/>
      <c r="Z104" s="2174"/>
      <c r="AA104" s="2174"/>
      <c r="AB104" s="2174"/>
      <c r="AC104" s="2174"/>
    </row>
    <row r="105" spans="1:29" s="1341"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8"/>
      <c r="O106" s="2168"/>
      <c r="P106" s="2169"/>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C107-$K33</f>
        <v>98</v>
      </c>
      <c r="E107" s="681">
        <f t="shared" ref="E107:M107" si="27">D107-$K33</f>
        <v>96</v>
      </c>
      <c r="F107" s="681">
        <f t="shared" si="27"/>
        <v>94</v>
      </c>
      <c r="G107" s="681">
        <f t="shared" si="27"/>
        <v>92</v>
      </c>
      <c r="H107" s="681">
        <f t="shared" si="27"/>
        <v>90</v>
      </c>
      <c r="I107" s="681">
        <f t="shared" si="27"/>
        <v>88</v>
      </c>
      <c r="J107" s="681">
        <f t="shared" si="27"/>
        <v>86</v>
      </c>
      <c r="K107" s="681">
        <f t="shared" si="27"/>
        <v>84</v>
      </c>
      <c r="L107" s="681">
        <f t="shared" si="27"/>
        <v>82</v>
      </c>
      <c r="M107" s="681">
        <f t="shared" si="27"/>
        <v>80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1"/>
      <c r="B108" s="675" t="s">
        <v>549</v>
      </c>
      <c r="C108" s="690" t="s">
        <v>3103</v>
      </c>
      <c r="D108" s="690" t="s">
        <v>3104</v>
      </c>
      <c r="E108" s="690" t="s">
        <v>3105</v>
      </c>
      <c r="F108" s="690" t="s">
        <v>3106</v>
      </c>
      <c r="G108" s="690" t="s">
        <v>3107</v>
      </c>
      <c r="H108" s="720"/>
      <c r="I108" s="720"/>
      <c r="J108" s="720"/>
      <c r="K108" s="721"/>
      <c r="L108" s="722"/>
      <c r="M108" s="723"/>
      <c r="N108" s="2168"/>
      <c r="O108" s="2168"/>
      <c r="P108" s="2169"/>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C109-$K34</f>
        <v>99</v>
      </c>
      <c r="E109" s="681">
        <f t="shared" ref="E109:M109" si="28">D109-$K34</f>
        <v>98</v>
      </c>
      <c r="F109" s="681">
        <f t="shared" si="28"/>
        <v>97</v>
      </c>
      <c r="G109" s="681">
        <f t="shared" si="28"/>
        <v>96</v>
      </c>
      <c r="H109" s="681">
        <f t="shared" si="28"/>
        <v>95</v>
      </c>
      <c r="I109" s="681">
        <f t="shared" si="28"/>
        <v>94</v>
      </c>
      <c r="J109" s="681">
        <f t="shared" si="28"/>
        <v>93</v>
      </c>
      <c r="K109" s="681">
        <f t="shared" si="28"/>
        <v>92</v>
      </c>
      <c r="L109" s="681">
        <f t="shared" si="28"/>
        <v>91</v>
      </c>
      <c r="M109" s="681">
        <f t="shared" si="28"/>
        <v>90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1"/>
      <c r="B110" s="675" t="s">
        <v>550</v>
      </c>
      <c r="C110" s="720"/>
      <c r="D110" s="720"/>
      <c r="E110" s="720"/>
      <c r="F110" s="720"/>
      <c r="G110" s="720"/>
      <c r="H110" s="720"/>
      <c r="I110" s="720"/>
      <c r="J110" s="720"/>
      <c r="K110" s="721"/>
      <c r="L110" s="722"/>
      <c r="M110" s="72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81">
        <v>100</v>
      </c>
      <c r="D111" s="681">
        <f>C111-$K36</f>
        <v>100</v>
      </c>
      <c r="E111" s="681">
        <f t="shared" ref="E111:M111" si="29">D111-$K36</f>
        <v>100</v>
      </c>
      <c r="F111" s="681">
        <f t="shared" si="29"/>
        <v>100</v>
      </c>
      <c r="G111" s="681">
        <f t="shared" si="29"/>
        <v>100</v>
      </c>
      <c r="H111" s="681">
        <f t="shared" si="29"/>
        <v>100</v>
      </c>
      <c r="I111" s="681">
        <f t="shared" si="29"/>
        <v>100</v>
      </c>
      <c r="J111" s="681">
        <f t="shared" si="29"/>
        <v>100</v>
      </c>
      <c r="K111" s="681">
        <f t="shared" si="29"/>
        <v>100</v>
      </c>
      <c r="L111" s="681">
        <f t="shared" si="29"/>
        <v>100</v>
      </c>
      <c r="M111" s="681">
        <f t="shared" si="29"/>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1"/>
      <c r="B112" s="683">
        <f>B37</f>
        <v>111</v>
      </c>
      <c r="C112" s="690"/>
      <c r="D112" s="690"/>
      <c r="E112" s="690"/>
      <c r="F112" s="690"/>
      <c r="G112" s="724"/>
      <c r="H112" s="724"/>
      <c r="I112" s="724"/>
      <c r="J112" s="724"/>
      <c r="K112" s="725"/>
      <c r="L112" s="726"/>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701"/>
      <c r="C113" s="694"/>
      <c r="D113" s="694"/>
      <c r="E113" s="694"/>
      <c r="F113" s="694"/>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ht="15" thickTop="1">
      <c r="A114" s="589"/>
      <c r="B114" s="675">
        <f>B38</f>
        <v>111</v>
      </c>
      <c r="C114" s="663"/>
      <c r="D114" s="663"/>
      <c r="E114" s="663"/>
      <c r="F114" s="663"/>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702"/>
      <c r="D115" s="702"/>
      <c r="E115" s="702"/>
      <c r="F115" s="702"/>
      <c r="G115" s="673"/>
      <c r="H115" s="673"/>
      <c r="I115" s="673"/>
      <c r="J115" s="673"/>
      <c r="K115" s="673"/>
      <c r="L115" s="673"/>
      <c r="M115" s="674"/>
      <c r="N115" s="2170"/>
      <c r="O115" s="2170"/>
      <c r="P115" s="2169"/>
      <c r="Q115" s="2162"/>
      <c r="R115" s="2149"/>
      <c r="S115" s="2149"/>
      <c r="T115" s="2149"/>
      <c r="U115" s="2149"/>
      <c r="V115" s="2149"/>
      <c r="W115" s="2149"/>
      <c r="X115" s="2149"/>
      <c r="Y115" s="2149"/>
      <c r="Z115" s="2149"/>
      <c r="AA115" s="2149"/>
      <c r="AB115" s="2149"/>
      <c r="AC115" s="2149"/>
    </row>
    <row r="116" spans="1:29" s="1341" customFormat="1" ht="15" thickTop="1">
      <c r="A116" s="730"/>
      <c r="B116" s="731">
        <f>B39</f>
        <v>111</v>
      </c>
      <c r="C116" s="732"/>
      <c r="D116" s="732"/>
      <c r="E116" s="732"/>
      <c r="F116" s="732"/>
      <c r="G116" s="732"/>
      <c r="H116" s="732"/>
      <c r="I116" s="732"/>
      <c r="J116" s="733"/>
      <c r="K116" s="733"/>
      <c r="L116" s="734"/>
      <c r="M116" s="735"/>
      <c r="N116" s="2171"/>
      <c r="O116" s="2171"/>
      <c r="P116" s="2172"/>
      <c r="Q116" s="2173"/>
      <c r="R116" s="2174"/>
      <c r="S116" s="2174"/>
      <c r="T116" s="2174"/>
      <c r="U116" s="2174"/>
      <c r="V116" s="2174"/>
      <c r="W116" s="2174"/>
      <c r="X116" s="2174"/>
      <c r="Y116" s="2174"/>
      <c r="Z116" s="2174"/>
      <c r="AA116" s="2174"/>
      <c r="AB116" s="2174"/>
      <c r="AC116" s="2174"/>
    </row>
    <row r="117" spans="1:29" s="1341" customFormat="1" ht="15.75" thickBot="1">
      <c r="A117" s="689"/>
      <c r="B117" s="683"/>
      <c r="C117" s="652"/>
      <c r="D117" s="594"/>
      <c r="E117" s="594"/>
      <c r="F117" s="594"/>
      <c r="G117" s="594"/>
      <c r="H117" s="594"/>
      <c r="I117" s="594"/>
      <c r="J117" s="594"/>
      <c r="K117" s="594"/>
      <c r="L117" s="594"/>
      <c r="M117" s="736"/>
      <c r="N117" s="2170"/>
      <c r="O117" s="2170"/>
      <c r="P117" s="2172"/>
      <c r="Q117" s="2173"/>
      <c r="R117" s="2174"/>
      <c r="S117" s="2174"/>
      <c r="T117" s="2174"/>
      <c r="U117" s="2174"/>
      <c r="V117" s="2174"/>
      <c r="W117" s="2174"/>
      <c r="X117" s="2174"/>
      <c r="Y117" s="2174"/>
      <c r="Z117" s="2174"/>
      <c r="AA117" s="2174"/>
      <c r="AB117" s="2174"/>
      <c r="AC117" s="2174"/>
    </row>
    <row r="118" spans="1:29" ht="28.5">
      <c r="A118" s="666" t="s">
        <v>552</v>
      </c>
      <c r="B118" s="667" t="s">
        <v>594</v>
      </c>
      <c r="C118" s="706" t="str">
        <f t="shared" ref="C118:L118" si="30">C119&amp;"(含)"&amp;"-"&amp;D119</f>
        <v>0(含)-10000</v>
      </c>
      <c r="D118" s="706" t="str">
        <f t="shared" si="30"/>
        <v>10000(含)-20000</v>
      </c>
      <c r="E118" s="706" t="str">
        <f t="shared" si="30"/>
        <v>20000(含)-30000</v>
      </c>
      <c r="F118" s="706" t="str">
        <f t="shared" si="30"/>
        <v>30000(含)-40000</v>
      </c>
      <c r="G118" s="706" t="str">
        <f t="shared" si="30"/>
        <v>40000(含)-45000</v>
      </c>
      <c r="H118" s="706" t="str">
        <f t="shared" si="30"/>
        <v>45000(含)-50000</v>
      </c>
      <c r="I118" s="706" t="str">
        <f t="shared" si="30"/>
        <v>50000(含)-</v>
      </c>
      <c r="J118" s="3122" t="str">
        <f t="shared" si="30"/>
        <v>(含)-</v>
      </c>
      <c r="K118" s="3122" t="str">
        <f t="shared" si="30"/>
        <v>(含)-</v>
      </c>
      <c r="L118" s="3123" t="str">
        <f t="shared" si="30"/>
        <v>(含)-</v>
      </c>
      <c r="M118" s="3124"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1"/>
      <c r="B119" s="683"/>
      <c r="C119" s="732">
        <v>0</v>
      </c>
      <c r="D119" s="732">
        <v>10000</v>
      </c>
      <c r="E119" s="732">
        <v>20000</v>
      </c>
      <c r="F119" s="732">
        <v>30000</v>
      </c>
      <c r="G119" s="732">
        <v>40000</v>
      </c>
      <c r="H119" s="732">
        <v>45000</v>
      </c>
      <c r="I119" s="732">
        <v>50000</v>
      </c>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1"/>
      <c r="B120" s="680"/>
      <c r="C120" s="702">
        <v>100</v>
      </c>
      <c r="D120" s="728">
        <v>101</v>
      </c>
      <c r="E120" s="728">
        <v>102</v>
      </c>
      <c r="F120" s="728">
        <v>103</v>
      </c>
      <c r="G120" s="728">
        <v>104</v>
      </c>
      <c r="H120" s="728">
        <v>105</v>
      </c>
      <c r="I120" s="728">
        <v>106</v>
      </c>
      <c r="J120" s="728"/>
      <c r="K120" s="728"/>
      <c r="L120" s="728"/>
      <c r="M120" s="729"/>
      <c r="N120" s="2170"/>
      <c r="O120" s="2170"/>
      <c r="P120" s="2169"/>
      <c r="Q120" s="2162"/>
      <c r="R120" s="2149"/>
      <c r="S120" s="2149"/>
      <c r="T120" s="2149"/>
      <c r="U120" s="2149"/>
      <c r="V120" s="2149"/>
      <c r="W120" s="2149"/>
      <c r="X120" s="2149"/>
      <c r="Y120" s="2149"/>
      <c r="Z120" s="2149"/>
      <c r="AA120" s="2149"/>
      <c r="AB120" s="2149"/>
      <c r="AC120" s="2149"/>
    </row>
    <row r="121" spans="1:29" ht="15" thickTop="1">
      <c r="A121" s="737"/>
      <c r="B121" s="675" t="s">
        <v>595</v>
      </c>
      <c r="C121" s="720" t="s">
        <v>3109</v>
      </c>
      <c r="D121" s="720" t="s">
        <v>3110</v>
      </c>
      <c r="E121" s="720" t="s">
        <v>3111</v>
      </c>
      <c r="F121" s="720" t="s">
        <v>3112</v>
      </c>
      <c r="G121" s="3183"/>
      <c r="H121" s="3183"/>
      <c r="I121" s="3183"/>
      <c r="J121" s="720"/>
      <c r="K121" s="721"/>
      <c r="L121" s="722"/>
      <c r="M121" s="723"/>
      <c r="N121" s="2168"/>
      <c r="O121" s="2168"/>
      <c r="P121" s="2169"/>
      <c r="Q121" s="2162"/>
      <c r="R121" s="2149"/>
      <c r="S121" s="2149"/>
      <c r="T121" s="2149"/>
      <c r="U121" s="2149"/>
      <c r="V121" s="2149"/>
      <c r="W121" s="2149"/>
      <c r="X121" s="2149"/>
      <c r="Y121" s="2149"/>
      <c r="Z121" s="2149"/>
      <c r="AA121" s="2149"/>
      <c r="AB121" s="2149"/>
      <c r="AC121" s="2149"/>
    </row>
    <row r="122" spans="1:29" ht="15.75" thickBot="1">
      <c r="A122" s="671"/>
      <c r="B122" s="680"/>
      <c r="C122" s="681">
        <v>100</v>
      </c>
      <c r="D122" s="681">
        <f t="shared" ref="D122:M122" si="31">C122-$K41</f>
        <v>97</v>
      </c>
      <c r="E122" s="681">
        <f t="shared" si="31"/>
        <v>94</v>
      </c>
      <c r="F122" s="681">
        <f t="shared" si="31"/>
        <v>91</v>
      </c>
      <c r="G122" s="681">
        <f t="shared" si="31"/>
        <v>88</v>
      </c>
      <c r="H122" s="681">
        <f t="shared" si="31"/>
        <v>85</v>
      </c>
      <c r="I122" s="681">
        <f t="shared" si="31"/>
        <v>82</v>
      </c>
      <c r="J122" s="681">
        <f t="shared" si="31"/>
        <v>79</v>
      </c>
      <c r="K122" s="681">
        <f t="shared" si="31"/>
        <v>76</v>
      </c>
      <c r="L122" s="681">
        <f t="shared" si="31"/>
        <v>73</v>
      </c>
      <c r="M122" s="682">
        <f t="shared" si="31"/>
        <v>70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7"/>
      <c r="B123" s="675" t="s">
        <v>596</v>
      </c>
      <c r="C123" s="690" t="s">
        <v>3114</v>
      </c>
      <c r="D123" s="690" t="s">
        <v>3115</v>
      </c>
      <c r="E123" s="690" t="s">
        <v>3116</v>
      </c>
      <c r="F123" s="720"/>
      <c r="G123" s="720"/>
      <c r="H123" s="720"/>
      <c r="I123" s="720"/>
      <c r="J123" s="720"/>
      <c r="K123" s="721"/>
      <c r="L123" s="722"/>
      <c r="M123" s="723"/>
      <c r="N123" s="2168"/>
      <c r="O123" s="2168"/>
      <c r="P123" s="2169"/>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2">C124-$K42</f>
        <v>98</v>
      </c>
      <c r="E124" s="681">
        <f t="shared" si="32"/>
        <v>96</v>
      </c>
      <c r="F124" s="681">
        <f t="shared" si="32"/>
        <v>94</v>
      </c>
      <c r="G124" s="681">
        <f t="shared" si="32"/>
        <v>92</v>
      </c>
      <c r="H124" s="681">
        <f t="shared" si="32"/>
        <v>90</v>
      </c>
      <c r="I124" s="681">
        <f t="shared" si="32"/>
        <v>88</v>
      </c>
      <c r="J124" s="681">
        <f t="shared" si="32"/>
        <v>86</v>
      </c>
      <c r="K124" s="681">
        <f t="shared" si="32"/>
        <v>84</v>
      </c>
      <c r="L124" s="681">
        <f t="shared" si="32"/>
        <v>82</v>
      </c>
      <c r="M124" s="682">
        <f t="shared" si="32"/>
        <v>80</v>
      </c>
      <c r="N124" s="2170"/>
      <c r="O124" s="2170"/>
      <c r="P124" s="2169"/>
      <c r="Q124" s="2162"/>
      <c r="R124" s="2149"/>
      <c r="S124" s="2149"/>
      <c r="T124" s="2149"/>
      <c r="U124" s="2149"/>
      <c r="V124" s="2149"/>
      <c r="W124" s="2149"/>
      <c r="X124" s="2149"/>
      <c r="Y124" s="2149"/>
      <c r="Z124" s="2149"/>
      <c r="AA124" s="2149"/>
      <c r="AB124" s="2149"/>
      <c r="AC124" s="2149"/>
    </row>
    <row r="125" spans="1:29" s="1341" customFormat="1" ht="15" thickTop="1">
      <c r="A125" s="730"/>
      <c r="B125" s="1900" t="s">
        <v>2427</v>
      </c>
      <c r="C125" s="690" t="s">
        <v>3117</v>
      </c>
      <c r="D125" s="690" t="s">
        <v>3118</v>
      </c>
      <c r="E125" s="690" t="s">
        <v>3119</v>
      </c>
      <c r="F125" s="690" t="s">
        <v>3120</v>
      </c>
      <c r="G125" s="690" t="s">
        <v>3121</v>
      </c>
      <c r="H125" s="720"/>
      <c r="I125" s="720"/>
      <c r="J125" s="720"/>
      <c r="K125" s="721"/>
      <c r="L125" s="722"/>
      <c r="M125" s="723"/>
      <c r="N125" s="2171"/>
      <c r="O125" s="2171"/>
      <c r="P125" s="2172"/>
      <c r="Q125" s="2173"/>
      <c r="R125" s="2174"/>
      <c r="S125" s="2174"/>
      <c r="T125" s="2174"/>
      <c r="U125" s="2174"/>
      <c r="V125" s="2174"/>
      <c r="W125" s="2174"/>
      <c r="X125" s="2174"/>
      <c r="Y125" s="2174"/>
      <c r="Z125" s="2174"/>
      <c r="AA125" s="2174"/>
      <c r="AB125" s="2174"/>
      <c r="AC125" s="2174"/>
    </row>
    <row r="126" spans="1:29" s="1341" customFormat="1" ht="15.75" thickBot="1">
      <c r="A126" s="689"/>
      <c r="B126" s="680"/>
      <c r="C126" s="681">
        <v>100</v>
      </c>
      <c r="D126" s="681">
        <f>C126-$K43</f>
        <v>98</v>
      </c>
      <c r="E126" s="681">
        <f t="shared" ref="E126:M126" si="33">D126-$K43</f>
        <v>96</v>
      </c>
      <c r="F126" s="681">
        <f t="shared" si="33"/>
        <v>94</v>
      </c>
      <c r="G126" s="681">
        <f t="shared" si="33"/>
        <v>92</v>
      </c>
      <c r="H126" s="681">
        <f t="shared" si="33"/>
        <v>90</v>
      </c>
      <c r="I126" s="681">
        <f t="shared" si="33"/>
        <v>88</v>
      </c>
      <c r="J126" s="681">
        <f t="shared" si="33"/>
        <v>86</v>
      </c>
      <c r="K126" s="681">
        <f t="shared" si="33"/>
        <v>84</v>
      </c>
      <c r="L126" s="681">
        <f t="shared" si="33"/>
        <v>82</v>
      </c>
      <c r="M126" s="682">
        <f t="shared" si="33"/>
        <v>80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7"/>
      <c r="B127" s="675" t="s">
        <v>597</v>
      </c>
      <c r="C127" s="690" t="s">
        <v>3122</v>
      </c>
      <c r="D127" s="690" t="s">
        <v>3123</v>
      </c>
      <c r="E127" s="720" t="s">
        <v>3124</v>
      </c>
      <c r="F127" s="720" t="s">
        <v>3125</v>
      </c>
      <c r="G127" s="720" t="s">
        <v>3126</v>
      </c>
      <c r="H127" s="720"/>
      <c r="I127" s="720"/>
      <c r="J127" s="720"/>
      <c r="K127" s="721"/>
      <c r="L127" s="722"/>
      <c r="M127" s="723"/>
      <c r="N127" s="2168"/>
      <c r="O127" s="2168"/>
      <c r="P127" s="2169"/>
      <c r="Q127" s="2162"/>
      <c r="R127" s="2149"/>
      <c r="S127" s="2149"/>
      <c r="T127" s="2149"/>
      <c r="U127" s="2149"/>
      <c r="V127" s="2149"/>
      <c r="W127" s="2149"/>
      <c r="X127" s="2149"/>
      <c r="Y127" s="2149"/>
      <c r="Z127" s="2149"/>
      <c r="AA127" s="2149"/>
      <c r="AB127" s="2149"/>
      <c r="AC127" s="2149"/>
    </row>
    <row r="128" spans="1:29" ht="15.75" thickBot="1">
      <c r="A128" s="671"/>
      <c r="B128" s="680"/>
      <c r="C128" s="681">
        <v>100</v>
      </c>
      <c r="D128" s="681">
        <f t="shared" ref="D128:M128" si="34">C128-$K44</f>
        <v>98</v>
      </c>
      <c r="E128" s="681">
        <f t="shared" si="34"/>
        <v>96</v>
      </c>
      <c r="F128" s="681">
        <f t="shared" si="34"/>
        <v>94</v>
      </c>
      <c r="G128" s="681">
        <f t="shared" si="34"/>
        <v>92</v>
      </c>
      <c r="H128" s="681">
        <f t="shared" si="34"/>
        <v>90</v>
      </c>
      <c r="I128" s="681">
        <f t="shared" si="34"/>
        <v>88</v>
      </c>
      <c r="J128" s="681">
        <f t="shared" si="34"/>
        <v>86</v>
      </c>
      <c r="K128" s="681">
        <f t="shared" si="34"/>
        <v>84</v>
      </c>
      <c r="L128" s="681">
        <f t="shared" si="34"/>
        <v>82</v>
      </c>
      <c r="M128" s="682">
        <f t="shared" si="34"/>
        <v>80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7"/>
      <c r="B129" s="675">
        <f>B45</f>
        <v>111</v>
      </c>
      <c r="C129" s="690"/>
      <c r="D129" s="690"/>
      <c r="E129" s="690"/>
      <c r="F129" s="690"/>
      <c r="G129" s="690"/>
      <c r="H129" s="720"/>
      <c r="I129" s="720"/>
      <c r="J129" s="720"/>
      <c r="K129" s="721"/>
      <c r="L129" s="722"/>
      <c r="M129" s="723"/>
      <c r="N129" s="2168"/>
      <c r="O129" s="2168"/>
      <c r="P129" s="2169"/>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169"/>
      <c r="Q130" s="2162"/>
      <c r="R130" s="2149"/>
      <c r="S130" s="2149"/>
      <c r="T130" s="2149"/>
      <c r="U130" s="2149"/>
      <c r="V130" s="2149"/>
      <c r="W130" s="2149"/>
      <c r="X130" s="2149"/>
      <c r="Y130" s="2149"/>
      <c r="Z130" s="2149"/>
      <c r="AA130" s="2149"/>
      <c r="AB130" s="2149"/>
      <c r="AC130" s="2149"/>
    </row>
    <row r="131" spans="1:29" ht="15" thickTop="1">
      <c r="A131" s="737"/>
      <c r="B131" s="675">
        <f>B46</f>
        <v>111</v>
      </c>
      <c r="C131" s="663"/>
      <c r="D131" s="663"/>
      <c r="E131" s="663"/>
      <c r="F131" s="663"/>
      <c r="G131" s="720"/>
      <c r="H131" s="720"/>
      <c r="I131" s="720"/>
      <c r="J131" s="720"/>
      <c r="K131" s="721"/>
      <c r="L131" s="722"/>
      <c r="M131" s="723"/>
      <c r="N131" s="2168"/>
      <c r="O131" s="2168"/>
      <c r="P131" s="2169"/>
      <c r="Q131" s="2162"/>
      <c r="R131" s="2149"/>
      <c r="S131" s="2149"/>
      <c r="T131" s="2149"/>
      <c r="U131" s="2149"/>
      <c r="V131" s="2149"/>
      <c r="W131" s="2149"/>
      <c r="X131" s="2149"/>
      <c r="Y131" s="2149"/>
      <c r="Z131" s="2149"/>
      <c r="AA131" s="2149"/>
      <c r="AB131" s="2149"/>
      <c r="AC131" s="2149"/>
    </row>
    <row r="132" spans="1:29" ht="15.75" thickBot="1">
      <c r="A132" s="671"/>
      <c r="B132" s="680"/>
      <c r="C132" s="702"/>
      <c r="D132" s="702"/>
      <c r="E132" s="702"/>
      <c r="F132" s="702"/>
      <c r="G132" s="673"/>
      <c r="H132" s="673"/>
      <c r="I132" s="673"/>
      <c r="J132" s="673"/>
      <c r="K132" s="673"/>
      <c r="L132" s="673"/>
      <c r="M132" s="674"/>
      <c r="N132" s="2170"/>
      <c r="O132" s="2170"/>
      <c r="P132" s="2169"/>
      <c r="Q132" s="2162"/>
      <c r="R132" s="2149"/>
      <c r="S132" s="2149"/>
      <c r="T132" s="2149"/>
      <c r="U132" s="2149"/>
      <c r="V132" s="2149"/>
      <c r="W132" s="2149"/>
      <c r="X132" s="2149"/>
      <c r="Y132" s="2149"/>
      <c r="Z132" s="2149"/>
      <c r="AA132" s="2149"/>
      <c r="AB132" s="2149"/>
      <c r="AC132" s="2149"/>
    </row>
    <row r="133" spans="1:29" s="1341" customFormat="1" ht="15" thickTop="1">
      <c r="A133" s="730"/>
      <c r="B133" s="675">
        <f>B47</f>
        <v>111</v>
      </c>
      <c r="C133" s="663"/>
      <c r="D133" s="663"/>
      <c r="E133" s="663"/>
      <c r="F133" s="663"/>
      <c r="G133" s="691"/>
      <c r="H133" s="691"/>
      <c r="I133" s="691"/>
      <c r="J133" s="691"/>
      <c r="K133" s="691"/>
      <c r="L133" s="692"/>
      <c r="M133" s="693"/>
      <c r="N133" s="2171"/>
      <c r="O133" s="2171"/>
      <c r="P133" s="2172"/>
      <c r="Q133" s="2173"/>
      <c r="R133" s="2174"/>
      <c r="S133" s="2174"/>
      <c r="T133" s="2174"/>
      <c r="U133" s="2174"/>
      <c r="V133" s="2174"/>
      <c r="W133" s="2174"/>
      <c r="X133" s="2174"/>
      <c r="Y133" s="2174"/>
      <c r="Z133" s="2174"/>
      <c r="AA133" s="2174"/>
      <c r="AB133" s="2174"/>
      <c r="AC133" s="2174"/>
    </row>
    <row r="134" spans="1:29" s="1341" customFormat="1" ht="15.75" thickBot="1">
      <c r="A134" s="700"/>
      <c r="B134" s="738"/>
      <c r="C134" s="702"/>
      <c r="D134" s="702"/>
      <c r="E134" s="702"/>
      <c r="F134" s="702"/>
      <c r="G134" s="728"/>
      <c r="H134" s="728"/>
      <c r="I134" s="728"/>
      <c r="J134" s="728"/>
      <c r="K134" s="728"/>
      <c r="L134" s="728"/>
      <c r="M134" s="729"/>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510"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c r="A3" s="1383" t="s">
        <v>1684</v>
      </c>
      <c r="B3" s="512"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0"/>
      <c r="AC3" s="430"/>
    </row>
    <row r="4" spans="1:29" s="1338" customFormat="1" ht="28.5" customHeight="1">
      <c r="A4" s="513" t="s">
        <v>521</v>
      </c>
      <c r="B4" s="429"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29" s="1338" customFormat="1" ht="28.5" customHeight="1" thickBot="1">
      <c r="A5" s="431"/>
      <c r="B5" s="432" t="e">
        <f>ROUND(B2/('数据-汇总表'!D3/666.67),0)</f>
        <v>#DIV/0!</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0"/>
    </row>
    <row r="6" spans="1:29" ht="15">
      <c r="A6" s="514" t="s">
        <v>522</v>
      </c>
      <c r="B6" s="515"/>
      <c r="C6" s="3366" t="s">
        <v>523</v>
      </c>
      <c r="D6" s="3367"/>
      <c r="E6" s="3400" t="s">
        <v>524</v>
      </c>
      <c r="F6" s="3401"/>
      <c r="G6" s="3366" t="s">
        <v>525</v>
      </c>
      <c r="H6" s="3367"/>
      <c r="I6" s="3366" t="s">
        <v>526</v>
      </c>
      <c r="J6" s="3367"/>
      <c r="K6" s="516" t="s">
        <v>527</v>
      </c>
      <c r="L6" s="2137"/>
      <c r="M6" s="2138"/>
      <c r="N6" s="2138"/>
      <c r="O6" s="2138"/>
      <c r="P6" s="3368" t="s">
        <v>528</v>
      </c>
      <c r="Q6" s="3369"/>
      <c r="R6" s="3374" t="s">
        <v>524</v>
      </c>
      <c r="S6" s="3375"/>
      <c r="T6" s="3374" t="s">
        <v>525</v>
      </c>
      <c r="U6" s="3375"/>
      <c r="V6" s="3361" t="s">
        <v>526</v>
      </c>
      <c r="W6" s="3361"/>
      <c r="X6" s="1570"/>
      <c r="Y6" s="3374" t="s">
        <v>528</v>
      </c>
      <c r="Z6" s="3375"/>
      <c r="AA6" s="3363" t="s">
        <v>524</v>
      </c>
      <c r="AB6" s="3364" t="s">
        <v>525</v>
      </c>
      <c r="AC6" s="3363" t="s">
        <v>526</v>
      </c>
    </row>
    <row r="7" spans="1:29" ht="15">
      <c r="A7" s="517"/>
      <c r="B7" s="518"/>
      <c r="C7" s="3382" t="s">
        <v>2936</v>
      </c>
      <c r="D7" s="3383"/>
      <c r="E7" s="3402" t="s">
        <v>2937</v>
      </c>
      <c r="F7" s="3403"/>
      <c r="G7" s="3382" t="s">
        <v>2938</v>
      </c>
      <c r="H7" s="3383"/>
      <c r="I7" s="3382" t="s">
        <v>2939</v>
      </c>
      <c r="J7" s="3383"/>
      <c r="K7" s="516"/>
      <c r="L7" s="2137"/>
      <c r="M7" s="2138"/>
      <c r="N7" s="2138"/>
      <c r="O7" s="2138"/>
      <c r="P7" s="3370"/>
      <c r="Q7" s="3371"/>
      <c r="R7" s="3376"/>
      <c r="S7" s="3377"/>
      <c r="T7" s="3376"/>
      <c r="U7" s="3377"/>
      <c r="V7" s="3361"/>
      <c r="W7" s="3361"/>
      <c r="X7" s="1570"/>
      <c r="Y7" s="3376"/>
      <c r="Z7" s="3377"/>
      <c r="AA7" s="3364"/>
      <c r="AB7" s="3364"/>
      <c r="AC7" s="3364"/>
    </row>
    <row r="8" spans="1:29" ht="15.75" thickBot="1">
      <c r="A8" s="519"/>
      <c r="B8" s="520"/>
      <c r="C8" s="3380" t="s">
        <v>2940</v>
      </c>
      <c r="D8" s="3381"/>
      <c r="E8" s="3398" t="s">
        <v>2940</v>
      </c>
      <c r="F8" s="3399"/>
      <c r="G8" s="3380" t="s">
        <v>2940</v>
      </c>
      <c r="H8" s="3381"/>
      <c r="I8" s="3380" t="s">
        <v>2940</v>
      </c>
      <c r="J8" s="3381"/>
      <c r="K8" s="516" t="s">
        <v>529</v>
      </c>
      <c r="L8" s="2137"/>
      <c r="M8" s="2138"/>
      <c r="N8" s="2138"/>
      <c r="O8" s="2138"/>
      <c r="P8" s="3372"/>
      <c r="Q8" s="3373"/>
      <c r="R8" s="3376"/>
      <c r="S8" s="3377"/>
      <c r="T8" s="3378"/>
      <c r="U8" s="3379"/>
      <c r="V8" s="3361"/>
      <c r="W8" s="3361"/>
      <c r="X8" s="1570"/>
      <c r="Y8" s="3378"/>
      <c r="Z8" s="3379"/>
      <c r="AA8" s="3365"/>
      <c r="AB8" s="3365"/>
      <c r="AC8" s="3365"/>
    </row>
    <row r="9" spans="1:29" s="1222" customFormat="1" ht="15.75" thickBot="1">
      <c r="A9" s="2942"/>
      <c r="B9" s="2949" t="s">
        <v>530</v>
      </c>
      <c r="C9" s="521">
        <f>'数据-取费表'!B2</f>
        <v>43032</v>
      </c>
      <c r="D9" s="522">
        <v>100</v>
      </c>
      <c r="E9" s="523"/>
      <c r="F9" s="524">
        <f>SUMIF(67:67,YEAR(E9)&amp;"-"&amp;INT((MONTH(E9)+2)/3),68:68)</f>
        <v>0</v>
      </c>
      <c r="G9" s="525"/>
      <c r="H9" s="522">
        <f>SUMIF(67:67,YEAR(G9)&amp;"-"&amp;INT((MONTH(G9)+2)/3),68:68)</f>
        <v>0</v>
      </c>
      <c r="I9" s="525"/>
      <c r="J9" s="522">
        <f>SUMIF(67:67,YEAR(I9)&amp;"-"&amp;INT((MONTH(I9)+2)/3),68:68)</f>
        <v>0</v>
      </c>
      <c r="K9" s="526"/>
      <c r="L9" s="2139"/>
      <c r="M9" s="2140"/>
      <c r="N9" s="2140"/>
      <c r="O9" s="2140"/>
      <c r="P9" s="3391" t="s">
        <v>531</v>
      </c>
      <c r="Q9" s="3393"/>
      <c r="R9" s="1571" t="s">
        <v>8</v>
      </c>
      <c r="S9" s="1572">
        <f t="shared" ref="S9:S17" si="0">F9</f>
        <v>0</v>
      </c>
      <c r="T9" s="1571" t="s">
        <v>8</v>
      </c>
      <c r="U9" s="1572">
        <f t="shared" ref="U9:U17" si="1">H9</f>
        <v>0</v>
      </c>
      <c r="V9" s="1571" t="s">
        <v>8</v>
      </c>
      <c r="W9" s="1572">
        <f t="shared" ref="W9:W17" si="2">J9</f>
        <v>0</v>
      </c>
      <c r="X9" s="1573"/>
      <c r="Y9" s="3391" t="s">
        <v>531</v>
      </c>
      <c r="Z9" s="3392"/>
      <c r="AA9" s="1574" t="e">
        <f>D9/F9</f>
        <v>#DIV/0!</v>
      </c>
      <c r="AB9" s="1574" t="e">
        <f>D9/H9</f>
        <v>#DIV/0!</v>
      </c>
      <c r="AC9" s="1574" t="e">
        <f>D9/J9</f>
        <v>#DIV/0!</v>
      </c>
    </row>
    <row r="10" spans="1:29" s="1222" customFormat="1" ht="15.75" thickBot="1">
      <c r="A10" s="2943"/>
      <c r="B10" s="2950"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39"/>
      <c r="M10" s="2140"/>
      <c r="N10" s="2140"/>
      <c r="O10" s="2140"/>
      <c r="P10" s="3391" t="s">
        <v>534</v>
      </c>
      <c r="Q10" s="3392"/>
      <c r="R10" s="1571" t="s">
        <v>8</v>
      </c>
      <c r="S10" s="1572">
        <f t="shared" si="0"/>
        <v>0</v>
      </c>
      <c r="T10" s="1571" t="s">
        <v>8</v>
      </c>
      <c r="U10" s="1572">
        <f t="shared" si="1"/>
        <v>0</v>
      </c>
      <c r="V10" s="1571" t="s">
        <v>8</v>
      </c>
      <c r="W10" s="1572">
        <f t="shared" si="2"/>
        <v>0</v>
      </c>
      <c r="X10" s="1573"/>
      <c r="Y10" s="3391" t="s">
        <v>534</v>
      </c>
      <c r="Z10" s="3392"/>
      <c r="AA10" s="1574" t="e">
        <f t="shared" ref="AA10:AA42" si="3">D10/F10</f>
        <v>#DIV/0!</v>
      </c>
      <c r="AB10" s="1574" t="e">
        <f t="shared" ref="AB10:AB42" si="4">D10/H10</f>
        <v>#DIV/0!</v>
      </c>
      <c r="AC10" s="1574" t="e">
        <f t="shared" ref="AC10:AC42" si="5">D10/J10</f>
        <v>#DIV/0!</v>
      </c>
    </row>
    <row r="11" spans="1:29" s="1222" customFormat="1" ht="15">
      <c r="A11" s="2944"/>
      <c r="B11" s="2951" t="s">
        <v>2762</v>
      </c>
      <c r="C11" s="528"/>
      <c r="D11" s="253">
        <v>100</v>
      </c>
      <c r="E11" s="528"/>
      <c r="F11" s="253">
        <f>SUMIF(72:72,E11,73:73)-SUMIF(72:72,C11,73:73)+100</f>
        <v>100</v>
      </c>
      <c r="G11" s="528"/>
      <c r="H11" s="253">
        <f>SUMIF(72:72,G11,73:73)-SUMIF(72:72,C11,73:73)+100</f>
        <v>100</v>
      </c>
      <c r="I11" s="528"/>
      <c r="J11" s="253">
        <f>SUMIF(72:72,I11,73:73)-SUMIF(72:72,C11,73:73)+100</f>
        <v>100</v>
      </c>
      <c r="K11" s="526"/>
      <c r="L11" s="2139"/>
      <c r="M11" s="2140"/>
      <c r="N11" s="2140"/>
      <c r="O11" s="2141"/>
      <c r="P11" s="3360" t="s">
        <v>536</v>
      </c>
      <c r="Q11" s="1153" t="str">
        <f t="shared" ref="Q11:Q17" si="6">B11</f>
        <v>用途</v>
      </c>
      <c r="R11" s="1571" t="s">
        <v>8</v>
      </c>
      <c r="S11" s="1572">
        <f t="shared" si="0"/>
        <v>100</v>
      </c>
      <c r="T11" s="1571" t="s">
        <v>8</v>
      </c>
      <c r="U11" s="1572">
        <f t="shared" si="1"/>
        <v>100</v>
      </c>
      <c r="V11" s="1571" t="s">
        <v>8</v>
      </c>
      <c r="W11" s="1572">
        <f t="shared" si="2"/>
        <v>100</v>
      </c>
      <c r="X11" s="1573"/>
      <c r="Y11" s="3306" t="s">
        <v>537</v>
      </c>
      <c r="Z11" s="1152" t="str">
        <f t="shared" ref="Z11:Z17" si="7">Q11</f>
        <v>用途</v>
      </c>
      <c r="AA11" s="1574">
        <f t="shared" si="3"/>
        <v>1</v>
      </c>
      <c r="AB11" s="1574">
        <f t="shared" si="4"/>
        <v>1</v>
      </c>
      <c r="AC11" s="1574">
        <f t="shared" si="5"/>
        <v>1</v>
      </c>
    </row>
    <row r="12" spans="1:29" s="1340" customFormat="1" ht="27">
      <c r="A12" s="2945"/>
      <c r="B12" s="2950" t="s">
        <v>2763</v>
      </c>
      <c r="C12" s="530"/>
      <c r="D12" s="254">
        <v>100</v>
      </c>
      <c r="E12" s="530"/>
      <c r="F12" s="254">
        <f>ROUND(100/'数据-取费表'!G16,0)</f>
        <v>104</v>
      </c>
      <c r="G12" s="530"/>
      <c r="H12" s="254">
        <f>ROUND(100/'数据-取费表'!G16,0)</f>
        <v>104</v>
      </c>
      <c r="I12" s="530"/>
      <c r="J12" s="254">
        <f>ROUND(100/'数据-取费表'!G16,0)</f>
        <v>104</v>
      </c>
      <c r="K12" s="533"/>
      <c r="L12" s="2142"/>
      <c r="M12" s="2182"/>
      <c r="N12" s="2182"/>
      <c r="O12" s="2143"/>
      <c r="P12" s="3360"/>
      <c r="Q12" s="1153" t="str">
        <f t="shared" si="6"/>
        <v>土地使用年限（年）</v>
      </c>
      <c r="R12" s="1571" t="s">
        <v>8</v>
      </c>
      <c r="S12" s="1572">
        <f t="shared" si="0"/>
        <v>104</v>
      </c>
      <c r="T12" s="1571" t="s">
        <v>8</v>
      </c>
      <c r="U12" s="1572">
        <f t="shared" si="1"/>
        <v>104</v>
      </c>
      <c r="V12" s="1571" t="s">
        <v>8</v>
      </c>
      <c r="W12" s="1572">
        <f t="shared" si="2"/>
        <v>104</v>
      </c>
      <c r="X12" s="1573"/>
      <c r="Y12" s="3306"/>
      <c r="Z12" s="1152" t="str">
        <f t="shared" si="7"/>
        <v>土地使用年限（年）</v>
      </c>
      <c r="AA12" s="1574">
        <f t="shared" si="3"/>
        <v>0.96153846153846156</v>
      </c>
      <c r="AB12" s="1574">
        <f t="shared" si="4"/>
        <v>0.96153846153846156</v>
      </c>
      <c r="AC12" s="1574">
        <f t="shared" si="5"/>
        <v>0.96153846153846156</v>
      </c>
    </row>
    <row r="13" spans="1:29" ht="15">
      <c r="A13" s="2946"/>
      <c r="B13" s="2950" t="s">
        <v>2764</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4"/>
      <c r="M13" s="2138"/>
      <c r="N13" s="2138"/>
      <c r="O13" s="2145"/>
      <c r="P13" s="3360"/>
      <c r="Q13" s="1153" t="str">
        <f t="shared" si="6"/>
        <v>容积率</v>
      </c>
      <c r="R13" s="1571" t="s">
        <v>8</v>
      </c>
      <c r="S13" s="1572" t="e">
        <f t="shared" si="0"/>
        <v>#N/A</v>
      </c>
      <c r="T13" s="1571" t="s">
        <v>8</v>
      </c>
      <c r="U13" s="1572" t="e">
        <f t="shared" si="1"/>
        <v>#N/A</v>
      </c>
      <c r="V13" s="1571" t="s">
        <v>8</v>
      </c>
      <c r="W13" s="1572" t="e">
        <f t="shared" si="2"/>
        <v>#N/A</v>
      </c>
      <c r="X13" s="1573"/>
      <c r="Y13" s="3306"/>
      <c r="Z13" s="1152" t="str">
        <f t="shared" si="7"/>
        <v>容积率</v>
      </c>
      <c r="AA13" s="1574" t="e">
        <f t="shared" si="3"/>
        <v>#N/A</v>
      </c>
      <c r="AB13" s="1574" t="e">
        <f t="shared" si="4"/>
        <v>#N/A</v>
      </c>
      <c r="AC13" s="1574" t="e">
        <f t="shared" si="5"/>
        <v>#N/A</v>
      </c>
    </row>
    <row r="14" spans="1:29" s="1222" customFormat="1" ht="15">
      <c r="A14" s="2947"/>
      <c r="B14" s="2953">
        <v>111</v>
      </c>
      <c r="C14" s="530"/>
      <c r="D14" s="540">
        <v>100</v>
      </c>
      <c r="E14" s="543"/>
      <c r="F14" s="254">
        <f>SUMIF(79:79,E14,80:80)-SUMIF(79:79,C14,80:80)+100</f>
        <v>100</v>
      </c>
      <c r="G14" s="544"/>
      <c r="H14" s="254">
        <f>SUMIF(79:79,G14,80:80)-SUMIF(79:79,C14,80:80)+100</f>
        <v>100</v>
      </c>
      <c r="I14" s="543"/>
      <c r="J14" s="254">
        <f>SUMIF(79:79,I14,80:80)-SUMIF(79:79,C14,80:80)+100</f>
        <v>100</v>
      </c>
      <c r="K14" s="533"/>
      <c r="L14" s="2139"/>
      <c r="M14" s="2140"/>
      <c r="N14" s="2140"/>
      <c r="O14" s="2141"/>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D14/F14</f>
        <v>1</v>
      </c>
      <c r="AB14" s="1574">
        <f>D14/H14</f>
        <v>1</v>
      </c>
      <c r="AC14" s="1574">
        <f>D14/J14</f>
        <v>1</v>
      </c>
    </row>
    <row r="15" spans="1:29" ht="15">
      <c r="A15" s="2947"/>
      <c r="B15" s="2953">
        <v>111</v>
      </c>
      <c r="C15" s="541"/>
      <c r="D15" s="542">
        <v>100</v>
      </c>
      <c r="E15" s="543"/>
      <c r="F15" s="254">
        <f>SUMIF(81:81,E15,82:82)-SUMIF(81:81,C15,82:82)+100</f>
        <v>100</v>
      </c>
      <c r="G15" s="544"/>
      <c r="H15" s="542">
        <f>SUMIF(81:81,G15,82:82)-SUMIF(81:81,C15,82:82)+100</f>
        <v>100</v>
      </c>
      <c r="I15" s="543"/>
      <c r="J15" s="542">
        <f>SUMIF(81:81,I15,82:82)-SUMIF(81:81,C15,82:82)+100</f>
        <v>100</v>
      </c>
      <c r="K15" s="533"/>
      <c r="L15" s="2146"/>
      <c r="M15" s="2138"/>
      <c r="N15" s="2138"/>
      <c r="O15" s="2145"/>
      <c r="P15" s="3360"/>
      <c r="Q15" s="1153">
        <f t="shared" si="6"/>
        <v>111</v>
      </c>
      <c r="R15" s="1571" t="s">
        <v>8</v>
      </c>
      <c r="S15" s="1572">
        <f t="shared" si="0"/>
        <v>100</v>
      </c>
      <c r="T15" s="1571" t="s">
        <v>8</v>
      </c>
      <c r="U15" s="1572">
        <f t="shared" si="1"/>
        <v>100</v>
      </c>
      <c r="V15" s="1571" t="s">
        <v>8</v>
      </c>
      <c r="W15" s="1572">
        <f t="shared" si="2"/>
        <v>100</v>
      </c>
      <c r="X15" s="1573"/>
      <c r="Y15" s="3306"/>
      <c r="Z15" s="1152">
        <f t="shared" si="7"/>
        <v>111</v>
      </c>
      <c r="AA15" s="1574">
        <f t="shared" si="3"/>
        <v>1</v>
      </c>
      <c r="AB15" s="1574">
        <f t="shared" si="4"/>
        <v>1</v>
      </c>
      <c r="AC15" s="1574">
        <f t="shared" si="5"/>
        <v>1</v>
      </c>
    </row>
    <row r="16" spans="1:29" ht="15.75" thickBot="1">
      <c r="A16" s="2948"/>
      <c r="B16" s="2954">
        <v>111</v>
      </c>
      <c r="C16" s="547"/>
      <c r="D16" s="548">
        <v>100</v>
      </c>
      <c r="E16" s="543"/>
      <c r="F16" s="548">
        <f>SUMIF(83:83,E16,84:84)-SUMIF(83:83,C16,84:84)+100</f>
        <v>100</v>
      </c>
      <c r="G16" s="544"/>
      <c r="H16" s="548">
        <f>SUMIF(83:83,G16,84:84)-SUMIF(83:83,C16,84:84)+100</f>
        <v>100</v>
      </c>
      <c r="I16" s="543"/>
      <c r="J16" s="548">
        <f>SUMIF(83:83,I16,84:84)-SUMIF(83:83,C16,84:84)+100</f>
        <v>100</v>
      </c>
      <c r="K16" s="533"/>
      <c r="L16" s="2146"/>
      <c r="M16" s="2138"/>
      <c r="N16" s="2138"/>
      <c r="O16" s="2145"/>
      <c r="P16" s="3360"/>
      <c r="Q16" s="1153">
        <f t="shared" si="6"/>
        <v>111</v>
      </c>
      <c r="R16" s="1571" t="s">
        <v>8</v>
      </c>
      <c r="S16" s="1572">
        <f t="shared" si="0"/>
        <v>100</v>
      </c>
      <c r="T16" s="1571" t="s">
        <v>8</v>
      </c>
      <c r="U16" s="1572">
        <f t="shared" si="1"/>
        <v>100</v>
      </c>
      <c r="V16" s="1571" t="s">
        <v>8</v>
      </c>
      <c r="W16" s="1572">
        <f t="shared" si="2"/>
        <v>100</v>
      </c>
      <c r="X16" s="1573"/>
      <c r="Y16" s="3306"/>
      <c r="Z16" s="1152">
        <f t="shared" si="7"/>
        <v>111</v>
      </c>
      <c r="AA16" s="1574">
        <f t="shared" si="3"/>
        <v>1</v>
      </c>
      <c r="AB16" s="1574">
        <f t="shared" si="4"/>
        <v>1</v>
      </c>
      <c r="AC16" s="1574">
        <f t="shared" si="5"/>
        <v>1</v>
      </c>
    </row>
    <row r="17" spans="1:29" ht="57">
      <c r="A17" s="2940" t="s">
        <v>2760</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6"/>
      <c r="M17" s="2138"/>
      <c r="N17" s="2138"/>
      <c r="O17" s="2145"/>
      <c r="P17" s="3394" t="s">
        <v>541</v>
      </c>
      <c r="Q17" s="1575" t="str">
        <f t="shared" si="6"/>
        <v>产业集聚程度</v>
      </c>
      <c r="R17" s="1576" t="s">
        <v>8</v>
      </c>
      <c r="S17" s="1577">
        <f t="shared" si="0"/>
        <v>100</v>
      </c>
      <c r="T17" s="1576" t="s">
        <v>8</v>
      </c>
      <c r="U17" s="1577">
        <f t="shared" si="1"/>
        <v>100</v>
      </c>
      <c r="V17" s="1576" t="s">
        <v>8</v>
      </c>
      <c r="W17" s="1577">
        <f t="shared" si="2"/>
        <v>100</v>
      </c>
      <c r="X17" s="1570"/>
      <c r="Y17" s="3394"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46"/>
      <c r="M18" s="2138"/>
      <c r="N18" s="2138"/>
      <c r="O18" s="2145"/>
      <c r="P18" s="3395"/>
      <c r="Q18" s="1575"/>
      <c r="R18" s="1576"/>
      <c r="S18" s="1577"/>
      <c r="T18" s="1576"/>
      <c r="U18" s="1577"/>
      <c r="V18" s="1576"/>
      <c r="W18" s="1577"/>
      <c r="X18" s="1570"/>
      <c r="Y18" s="3395"/>
      <c r="Z18" s="1578"/>
      <c r="AA18" s="1579">
        <v>1</v>
      </c>
      <c r="AB18" s="1579">
        <v>1</v>
      </c>
      <c r="AC18" s="1579">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6"/>
      <c r="M19" s="2138"/>
      <c r="N19" s="2138"/>
      <c r="O19" s="2145"/>
      <c r="P19" s="3395"/>
      <c r="Q19" s="1575" t="str">
        <f>B19</f>
        <v>交通便捷度</v>
      </c>
      <c r="R19" s="1576" t="s">
        <v>8</v>
      </c>
      <c r="S19" s="1577">
        <f>F19</f>
        <v>100</v>
      </c>
      <c r="T19" s="1576" t="s">
        <v>8</v>
      </c>
      <c r="U19" s="1577">
        <f>H19</f>
        <v>100</v>
      </c>
      <c r="V19" s="1576" t="s">
        <v>8</v>
      </c>
      <c r="W19" s="1577">
        <f>J19</f>
        <v>100</v>
      </c>
      <c r="X19" s="1570"/>
      <c r="Y19" s="3395"/>
      <c r="Z19" s="1578" t="str">
        <f>Q19</f>
        <v>交通便捷度</v>
      </c>
      <c r="AA19" s="1579">
        <f t="shared" si="3"/>
        <v>1</v>
      </c>
      <c r="AB19" s="1579">
        <f t="shared" si="4"/>
        <v>1</v>
      </c>
      <c r="AC19" s="1579">
        <f t="shared" si="5"/>
        <v>1</v>
      </c>
    </row>
    <row r="20" spans="1:29" ht="15">
      <c r="A20" s="534"/>
      <c r="B20" s="924"/>
      <c r="C20" s="578"/>
      <c r="D20" s="557"/>
      <c r="E20" s="558"/>
      <c r="F20" s="557"/>
      <c r="G20" s="558"/>
      <c r="H20" s="557"/>
      <c r="I20" s="560"/>
      <c r="J20" s="557"/>
      <c r="K20" s="533"/>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6"/>
      <c r="M21" s="2138"/>
      <c r="N21" s="2138"/>
      <c r="O21" s="2145"/>
      <c r="P21" s="3395"/>
      <c r="Q21" s="1575" t="str">
        <f t="shared" ref="Q21:Q35" si="8">B21</f>
        <v>区域土地利用方向</v>
      </c>
      <c r="R21" s="1576" t="s">
        <v>8</v>
      </c>
      <c r="S21" s="1577">
        <f>F21</f>
        <v>100</v>
      </c>
      <c r="T21" s="1576" t="s">
        <v>8</v>
      </c>
      <c r="U21" s="1577">
        <f>H21</f>
        <v>100</v>
      </c>
      <c r="V21" s="1576" t="s">
        <v>8</v>
      </c>
      <c r="W21" s="1577">
        <f>J21</f>
        <v>100</v>
      </c>
      <c r="X21" s="1570"/>
      <c r="Y21" s="3395"/>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50"/>
      <c r="L22" s="2146"/>
      <c r="M22" s="2138"/>
      <c r="N22" s="2138"/>
      <c r="O22" s="2145"/>
      <c r="P22" s="3395"/>
      <c r="Q22" s="1575"/>
      <c r="R22" s="1576"/>
      <c r="S22" s="1577"/>
      <c r="T22" s="1576"/>
      <c r="U22" s="1577"/>
      <c r="V22" s="1576"/>
      <c r="W22" s="1577"/>
      <c r="X22" s="1570"/>
      <c r="Y22" s="3395"/>
      <c r="Z22" s="1578"/>
      <c r="AA22" s="1579"/>
      <c r="AB22" s="1579"/>
      <c r="AC22" s="1579"/>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6"/>
      <c r="M23" s="2138"/>
      <c r="N23" s="2138"/>
      <c r="O23" s="2145"/>
      <c r="P23" s="3395"/>
      <c r="Q23" s="1575" t="str">
        <f t="shared" si="8"/>
        <v>环境状况</v>
      </c>
      <c r="R23" s="1576" t="s">
        <v>8</v>
      </c>
      <c r="S23" s="1577">
        <f>F23</f>
        <v>100</v>
      </c>
      <c r="T23" s="1576" t="s">
        <v>8</v>
      </c>
      <c r="U23" s="1577">
        <f>H23</f>
        <v>100</v>
      </c>
      <c r="V23" s="1576" t="s">
        <v>8</v>
      </c>
      <c r="W23" s="1577">
        <f>J23</f>
        <v>100</v>
      </c>
      <c r="X23" s="1570"/>
      <c r="Y23" s="3395"/>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46"/>
      <c r="M24" s="2138"/>
      <c r="N24" s="2138"/>
      <c r="O24" s="2145"/>
      <c r="P24" s="3395"/>
      <c r="Q24" s="1575"/>
      <c r="R24" s="1576"/>
      <c r="S24" s="1577"/>
      <c r="T24" s="1576"/>
      <c r="U24" s="1577"/>
      <c r="V24" s="1576"/>
      <c r="W24" s="1577"/>
      <c r="X24" s="1570"/>
      <c r="Y24" s="3395"/>
      <c r="Z24" s="1578"/>
      <c r="AA24" s="1579">
        <v>1</v>
      </c>
      <c r="AB24" s="1579">
        <v>1</v>
      </c>
      <c r="AC24" s="1579">
        <v>1</v>
      </c>
    </row>
    <row r="25" spans="1:29" s="1222" customFormat="1" ht="42.75">
      <c r="A25" s="579"/>
      <c r="B25" s="2621" t="s">
        <v>2552</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9"/>
      <c r="M25" s="2140"/>
      <c r="N25" s="2140"/>
      <c r="O25" s="2141"/>
      <c r="P25" s="3395"/>
      <c r="Q25" s="1153" t="str">
        <f t="shared" si="8"/>
        <v>公共配套设施</v>
      </c>
      <c r="R25" s="1571" t="s">
        <v>8</v>
      </c>
      <c r="S25" s="1572">
        <f>F25</f>
        <v>100</v>
      </c>
      <c r="T25" s="1571" t="s">
        <v>8</v>
      </c>
      <c r="U25" s="1572">
        <f>H25</f>
        <v>100</v>
      </c>
      <c r="V25" s="1571" t="s">
        <v>8</v>
      </c>
      <c r="W25" s="1572">
        <f>J25</f>
        <v>100</v>
      </c>
      <c r="X25" s="1573"/>
      <c r="Y25" s="3395"/>
      <c r="Z25" s="1152" t="str">
        <f>Q25</f>
        <v>公共配套设施</v>
      </c>
      <c r="AA25" s="1579">
        <f>D25/F25</f>
        <v>1</v>
      </c>
      <c r="AB25" s="1579">
        <f>D25/H25</f>
        <v>1</v>
      </c>
      <c r="AC25" s="1579">
        <f>D25/J25</f>
        <v>1</v>
      </c>
    </row>
    <row r="26" spans="1:29" s="1222" customFormat="1" ht="15">
      <c r="A26" s="579"/>
      <c r="B26" s="597"/>
      <c r="C26" s="2620"/>
      <c r="D26" s="557"/>
      <c r="E26" s="556"/>
      <c r="F26" s="557"/>
      <c r="G26" s="556"/>
      <c r="H26" s="557"/>
      <c r="I26" s="578"/>
      <c r="J26" s="557"/>
      <c r="K26" s="533"/>
      <c r="L26" s="2139"/>
      <c r="M26" s="2140"/>
      <c r="N26" s="2140"/>
      <c r="O26" s="2141"/>
      <c r="P26" s="3395"/>
      <c r="Q26" s="1153"/>
      <c r="R26" s="1571"/>
      <c r="S26" s="1572"/>
      <c r="T26" s="1571"/>
      <c r="U26" s="1572"/>
      <c r="V26" s="1571"/>
      <c r="W26" s="1572"/>
      <c r="X26" s="1573"/>
      <c r="Y26" s="3395"/>
      <c r="Z26" s="1152"/>
      <c r="AA26" s="1574">
        <v>1</v>
      </c>
      <c r="AB26" s="1574">
        <v>1</v>
      </c>
      <c r="AC26" s="1574">
        <v>1</v>
      </c>
    </row>
    <row r="27" spans="1:29" s="1222" customFormat="1" ht="28.5">
      <c r="A27" s="579"/>
      <c r="B27" s="2621" t="s">
        <v>2553</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9"/>
      <c r="M27" s="2140"/>
      <c r="N27" s="2140"/>
      <c r="O27" s="2141"/>
      <c r="P27" s="3395"/>
      <c r="Q27" s="2606" t="str">
        <f t="shared" ref="Q27" si="9">B27</f>
        <v>基础设施水平</v>
      </c>
      <c r="R27" s="1571" t="s">
        <v>8</v>
      </c>
      <c r="S27" s="1572">
        <f>F27</f>
        <v>100</v>
      </c>
      <c r="T27" s="1571" t="s">
        <v>8</v>
      </c>
      <c r="U27" s="1572">
        <f>H27</f>
        <v>100</v>
      </c>
      <c r="V27" s="1571" t="s">
        <v>8</v>
      </c>
      <c r="W27" s="1572">
        <f>J27</f>
        <v>100</v>
      </c>
      <c r="X27" s="1573"/>
      <c r="Y27" s="3395"/>
      <c r="Z27" s="2603" t="str">
        <f>Q27</f>
        <v>基础设施水平</v>
      </c>
      <c r="AA27" s="1579">
        <f>D27/F27</f>
        <v>1</v>
      </c>
      <c r="AB27" s="1579">
        <f>D27/H27</f>
        <v>1</v>
      </c>
      <c r="AC27" s="1579">
        <f>D27/J27</f>
        <v>1</v>
      </c>
    </row>
    <row r="28" spans="1:29" s="1222" customFormat="1" ht="15">
      <c r="A28" s="579"/>
      <c r="B28" s="597"/>
      <c r="C28" s="2620"/>
      <c r="D28" s="557"/>
      <c r="E28" s="581"/>
      <c r="F28" s="557"/>
      <c r="G28" s="581"/>
      <c r="H28" s="557"/>
      <c r="I28" s="581"/>
      <c r="J28" s="557"/>
      <c r="K28" s="533"/>
      <c r="L28" s="2139"/>
      <c r="M28" s="2140"/>
      <c r="N28" s="2140"/>
      <c r="O28" s="2141"/>
      <c r="P28" s="3395"/>
      <c r="Q28" s="2606"/>
      <c r="R28" s="1571"/>
      <c r="S28" s="1572"/>
      <c r="T28" s="1571"/>
      <c r="U28" s="1572"/>
      <c r="V28" s="1571"/>
      <c r="W28" s="1572"/>
      <c r="X28" s="1573"/>
      <c r="Y28" s="3395"/>
      <c r="Z28" s="2603"/>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6"/>
      <c r="M29" s="2138"/>
      <c r="N29" s="2138"/>
      <c r="O29" s="2145"/>
      <c r="P29" s="3395"/>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95"/>
      <c r="Z29" s="1578" t="str">
        <f t="shared" ref="Z29:Z42" si="13">Q29</f>
        <v>临街状况</v>
      </c>
      <c r="AA29" s="1579">
        <f t="shared" si="3"/>
        <v>1</v>
      </c>
      <c r="AB29" s="1579">
        <f t="shared" si="4"/>
        <v>1</v>
      </c>
      <c r="AC29" s="1579">
        <f t="shared" si="5"/>
        <v>1</v>
      </c>
    </row>
    <row r="30" spans="1:29" ht="27">
      <c r="A30" s="534"/>
      <c r="B30" s="924" t="s">
        <v>549</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6"/>
      <c r="M30" s="2138"/>
      <c r="N30" s="2138"/>
      <c r="O30" s="2145"/>
      <c r="P30" s="3395"/>
      <c r="Q30" s="1575" t="str">
        <f t="shared" si="8"/>
        <v>毗邻道路的类型与等级</v>
      </c>
      <c r="R30" s="1576" t="s">
        <v>8</v>
      </c>
      <c r="S30" s="1577">
        <f t="shared" si="10"/>
        <v>100</v>
      </c>
      <c r="T30" s="1576" t="s">
        <v>8</v>
      </c>
      <c r="U30" s="1577">
        <f t="shared" si="11"/>
        <v>100</v>
      </c>
      <c r="V30" s="1576" t="s">
        <v>8</v>
      </c>
      <c r="W30" s="1577">
        <f t="shared" si="12"/>
        <v>100</v>
      </c>
      <c r="X30" s="1570"/>
      <c r="Y30" s="3395"/>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46"/>
      <c r="M31" s="2138"/>
      <c r="N31" s="2138"/>
      <c r="O31" s="2145"/>
      <c r="P31" s="3395"/>
      <c r="Q31" s="1575"/>
      <c r="R31" s="1576"/>
      <c r="S31" s="1577"/>
      <c r="T31" s="1576"/>
      <c r="U31" s="1577"/>
      <c r="V31" s="1576"/>
      <c r="W31" s="1577"/>
      <c r="X31" s="1570"/>
      <c r="Y31" s="3395"/>
      <c r="Z31" s="1578"/>
      <c r="AA31" s="1579">
        <v>1</v>
      </c>
      <c r="AB31" s="1579">
        <v>1</v>
      </c>
      <c r="AC31" s="1579">
        <v>1</v>
      </c>
    </row>
    <row r="32" spans="1:29" ht="15">
      <c r="A32" s="534"/>
      <c r="B32" s="529" t="s">
        <v>550</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6"/>
      <c r="M32" s="2138"/>
      <c r="N32" s="2138"/>
      <c r="O32" s="2145"/>
      <c r="P32" s="3395"/>
      <c r="Q32" s="1575" t="str">
        <f t="shared" si="8"/>
        <v>土地级别</v>
      </c>
      <c r="R32" s="1576" t="s">
        <v>8</v>
      </c>
      <c r="S32" s="1577">
        <f t="shared" si="10"/>
        <v>100</v>
      </c>
      <c r="T32" s="1576" t="s">
        <v>8</v>
      </c>
      <c r="U32" s="1577">
        <f t="shared" si="11"/>
        <v>100</v>
      </c>
      <c r="V32" s="1576" t="s">
        <v>8</v>
      </c>
      <c r="W32" s="1577">
        <f t="shared" si="12"/>
        <v>100</v>
      </c>
      <c r="X32" s="1570"/>
      <c r="Y32" s="3395"/>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6"/>
      <c r="M33" s="2138"/>
      <c r="N33" s="2138"/>
      <c r="O33" s="2145"/>
      <c r="P33" s="3395"/>
      <c r="Q33" s="1575">
        <f t="shared" si="8"/>
        <v>111</v>
      </c>
      <c r="R33" s="1576" t="s">
        <v>8</v>
      </c>
      <c r="S33" s="1577">
        <f t="shared" si="10"/>
        <v>100</v>
      </c>
      <c r="T33" s="1576" t="s">
        <v>8</v>
      </c>
      <c r="U33" s="1577">
        <f t="shared" si="11"/>
        <v>100</v>
      </c>
      <c r="V33" s="1576" t="s">
        <v>8</v>
      </c>
      <c r="W33" s="1577">
        <f t="shared" si="12"/>
        <v>100</v>
      </c>
      <c r="X33" s="1570"/>
      <c r="Y33" s="3395"/>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6"/>
      <c r="M34" s="2138"/>
      <c r="N34" s="2138"/>
      <c r="O34" s="2145"/>
      <c r="P34" s="3396" t="s">
        <v>551</v>
      </c>
      <c r="Q34" s="1575">
        <f t="shared" si="8"/>
        <v>111</v>
      </c>
      <c r="R34" s="1576" t="s">
        <v>8</v>
      </c>
      <c r="S34" s="1577">
        <f t="shared" si="10"/>
        <v>100</v>
      </c>
      <c r="T34" s="1576" t="s">
        <v>8</v>
      </c>
      <c r="U34" s="1577">
        <f t="shared" si="11"/>
        <v>100</v>
      </c>
      <c r="V34" s="1576" t="s">
        <v>8</v>
      </c>
      <c r="W34" s="1577">
        <f t="shared" si="12"/>
        <v>100</v>
      </c>
      <c r="X34" s="1570"/>
      <c r="Y34" s="3397" t="s">
        <v>551</v>
      </c>
      <c r="Z34" s="1578">
        <f t="shared" si="13"/>
        <v>111</v>
      </c>
      <c r="AA34" s="1579">
        <f t="shared" si="3"/>
        <v>1</v>
      </c>
      <c r="AB34" s="1579">
        <f t="shared" si="4"/>
        <v>1</v>
      </c>
      <c r="AC34" s="1579">
        <f t="shared" si="5"/>
        <v>1</v>
      </c>
    </row>
    <row r="35" spans="1:29" s="1341"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4"/>
      <c r="M35" s="2175"/>
      <c r="N35" s="2175"/>
      <c r="O35" s="2147"/>
      <c r="P35" s="3397"/>
      <c r="Q35" s="1575">
        <f t="shared" si="8"/>
        <v>111</v>
      </c>
      <c r="R35" s="1580" t="s">
        <v>8</v>
      </c>
      <c r="S35" s="1581">
        <f t="shared" si="10"/>
        <v>100</v>
      </c>
      <c r="T35" s="1580" t="s">
        <v>8</v>
      </c>
      <c r="U35" s="1581">
        <f t="shared" si="11"/>
        <v>100</v>
      </c>
      <c r="V35" s="1580" t="s">
        <v>8</v>
      </c>
      <c r="W35" s="1581">
        <f t="shared" si="12"/>
        <v>100</v>
      </c>
      <c r="X35" s="1582"/>
      <c r="Y35" s="3397"/>
      <c r="Z35" s="1583">
        <f t="shared" si="13"/>
        <v>111</v>
      </c>
      <c r="AA35" s="1579">
        <f t="shared" si="3"/>
        <v>1</v>
      </c>
      <c r="AB35" s="1579">
        <f t="shared" si="4"/>
        <v>1</v>
      </c>
      <c r="AC35" s="1579">
        <f t="shared" si="5"/>
        <v>1</v>
      </c>
    </row>
    <row r="36" spans="1:29" ht="15">
      <c r="A36" s="2937" t="s">
        <v>2761</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6"/>
      <c r="M36" s="2138"/>
      <c r="N36" s="2138"/>
      <c r="O36" s="2145"/>
      <c r="P36" s="3397"/>
      <c r="Q36" s="1575" t="str">
        <f>B36</f>
        <v>宗地面积</v>
      </c>
      <c r="R36" s="1576" t="s">
        <v>8</v>
      </c>
      <c r="S36" s="1577" t="e">
        <f t="shared" si="10"/>
        <v>#N/A</v>
      </c>
      <c r="T36" s="1576" t="s">
        <v>8</v>
      </c>
      <c r="U36" s="1577" t="e">
        <f t="shared" si="11"/>
        <v>#N/A</v>
      </c>
      <c r="V36" s="1576" t="s">
        <v>8</v>
      </c>
      <c r="W36" s="1577" t="e">
        <f t="shared" si="12"/>
        <v>#N/A</v>
      </c>
      <c r="X36" s="1570"/>
      <c r="Y36" s="3397"/>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6"/>
      <c r="M37" s="2138"/>
      <c r="N37" s="2138"/>
      <c r="O37" s="2145"/>
      <c r="P37" s="3397"/>
      <c r="Q37" s="1575" t="str">
        <f t="shared" ref="Q37:Q42" si="14">B37</f>
        <v>宗地形状</v>
      </c>
      <c r="R37" s="1576" t="s">
        <v>8</v>
      </c>
      <c r="S37" s="1577">
        <f t="shared" si="10"/>
        <v>100</v>
      </c>
      <c r="T37" s="1576" t="s">
        <v>8</v>
      </c>
      <c r="U37" s="1577">
        <f t="shared" si="11"/>
        <v>100</v>
      </c>
      <c r="V37" s="1576" t="s">
        <v>8</v>
      </c>
      <c r="W37" s="1577">
        <f t="shared" si="12"/>
        <v>100</v>
      </c>
      <c r="X37" s="1570"/>
      <c r="Y37" s="3397"/>
      <c r="Z37" s="1578" t="str">
        <f t="shared" si="13"/>
        <v>宗地形状</v>
      </c>
      <c r="AA37" s="1579">
        <f t="shared" si="3"/>
        <v>1</v>
      </c>
      <c r="AB37" s="1579">
        <f t="shared" si="4"/>
        <v>1</v>
      </c>
      <c r="AC37" s="1579">
        <f t="shared" si="5"/>
        <v>1</v>
      </c>
    </row>
    <row r="38" spans="1:29" s="1222" customFormat="1" ht="15">
      <c r="A38" s="602"/>
      <c r="B38" s="1899" t="s">
        <v>2426</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9"/>
      <c r="M38" s="2140"/>
      <c r="N38" s="2140"/>
      <c r="O38" s="2141"/>
      <c r="P38" s="3397"/>
      <c r="Q38" s="1575" t="str">
        <f t="shared" si="14"/>
        <v>宗地开发程度</v>
      </c>
      <c r="R38" s="1571" t="s">
        <v>8</v>
      </c>
      <c r="S38" s="1572">
        <f t="shared" si="10"/>
        <v>100</v>
      </c>
      <c r="T38" s="1571" t="s">
        <v>8</v>
      </c>
      <c r="U38" s="1572">
        <f t="shared" si="11"/>
        <v>100</v>
      </c>
      <c r="V38" s="1571" t="s">
        <v>8</v>
      </c>
      <c r="W38" s="1572">
        <f t="shared" si="12"/>
        <v>100</v>
      </c>
      <c r="X38" s="1573"/>
      <c r="Y38" s="3397"/>
      <c r="Z38" s="1152"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97" t="s">
        <v>602</v>
      </c>
      <c r="Q39" s="1575" t="str">
        <f t="shared" si="14"/>
        <v>工程地质条件</v>
      </c>
      <c r="R39" s="1576" t="s">
        <v>8</v>
      </c>
      <c r="S39" s="1577">
        <f t="shared" si="10"/>
        <v>100</v>
      </c>
      <c r="T39" s="1576" t="s">
        <v>8</v>
      </c>
      <c r="U39" s="1577">
        <f t="shared" si="11"/>
        <v>100</v>
      </c>
      <c r="V39" s="1576" t="s">
        <v>8</v>
      </c>
      <c r="W39" s="1577">
        <f t="shared" si="12"/>
        <v>100</v>
      </c>
      <c r="X39" s="1570"/>
      <c r="Y39" s="3397"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6"/>
      <c r="M40" s="2138"/>
      <c r="N40" s="2138"/>
      <c r="O40" s="2145"/>
      <c r="P40" s="3397"/>
      <c r="Q40" s="1575">
        <f t="shared" si="14"/>
        <v>111</v>
      </c>
      <c r="R40" s="1576" t="s">
        <v>8</v>
      </c>
      <c r="S40" s="1577">
        <f t="shared" si="10"/>
        <v>100</v>
      </c>
      <c r="T40" s="1576" t="s">
        <v>8</v>
      </c>
      <c r="U40" s="1577">
        <f t="shared" si="11"/>
        <v>100</v>
      </c>
      <c r="V40" s="1576" t="s">
        <v>8</v>
      </c>
      <c r="W40" s="1577">
        <f t="shared" si="12"/>
        <v>100</v>
      </c>
      <c r="X40" s="1570"/>
      <c r="Y40" s="3397"/>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6"/>
      <c r="M41" s="2138"/>
      <c r="N41" s="2138"/>
      <c r="O41" s="2145"/>
      <c r="P41" s="3397"/>
      <c r="Q41" s="1575">
        <f t="shared" si="14"/>
        <v>111</v>
      </c>
      <c r="R41" s="1576" t="s">
        <v>8</v>
      </c>
      <c r="S41" s="1577">
        <f t="shared" si="10"/>
        <v>100</v>
      </c>
      <c r="T41" s="1576" t="s">
        <v>8</v>
      </c>
      <c r="U41" s="1577">
        <f t="shared" si="11"/>
        <v>100</v>
      </c>
      <c r="V41" s="1576" t="s">
        <v>8</v>
      </c>
      <c r="W41" s="1577">
        <f t="shared" si="12"/>
        <v>100</v>
      </c>
      <c r="X41" s="1570"/>
      <c r="Y41" s="3397"/>
      <c r="Z41" s="1578">
        <f t="shared" si="13"/>
        <v>111</v>
      </c>
      <c r="AA41" s="1579">
        <f t="shared" si="3"/>
        <v>1</v>
      </c>
      <c r="AB41" s="1579">
        <f t="shared" si="4"/>
        <v>1</v>
      </c>
      <c r="AC41" s="1579">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4"/>
      <c r="M42" s="2175"/>
      <c r="N42" s="2175"/>
      <c r="O42" s="2147"/>
      <c r="P42" s="3397"/>
      <c r="Q42" s="1575">
        <f t="shared" si="14"/>
        <v>111</v>
      </c>
      <c r="R42" s="1580" t="s">
        <v>8</v>
      </c>
      <c r="S42" s="1581">
        <f t="shared" si="10"/>
        <v>100</v>
      </c>
      <c r="T42" s="1580" t="s">
        <v>8</v>
      </c>
      <c r="U42" s="1581">
        <f t="shared" si="11"/>
        <v>100</v>
      </c>
      <c r="V42" s="1580" t="s">
        <v>8</v>
      </c>
      <c r="W42" s="1581">
        <f t="shared" si="12"/>
        <v>100</v>
      </c>
      <c r="X42" s="1582"/>
      <c r="Y42" s="3397"/>
      <c r="Z42" s="1583">
        <f t="shared" si="13"/>
        <v>111</v>
      </c>
      <c r="AA42" s="1579">
        <f t="shared" si="3"/>
        <v>1</v>
      </c>
      <c r="AB42" s="1579">
        <f t="shared" si="4"/>
        <v>1</v>
      </c>
      <c r="AC42" s="1579">
        <f t="shared" si="5"/>
        <v>1</v>
      </c>
    </row>
    <row r="43" spans="1:29" ht="15">
      <c r="A43" s="609" t="s">
        <v>557</v>
      </c>
      <c r="B43" s="610" t="s">
        <v>2941</v>
      </c>
      <c r="C43" s="611" t="s">
        <v>1</v>
      </c>
      <c r="D43" s="612"/>
      <c r="E43" s="613"/>
      <c r="F43" s="614"/>
      <c r="G43" s="615"/>
      <c r="H43" s="616"/>
      <c r="I43" s="613"/>
      <c r="J43" s="616"/>
      <c r="K43" s="1342"/>
      <c r="L43" s="2148"/>
      <c r="M43" s="2138"/>
      <c r="N43" s="2138"/>
      <c r="O43" s="2149"/>
      <c r="P43" s="3360" t="str">
        <f>A43</f>
        <v>成交单价</v>
      </c>
      <c r="Q43" s="3360"/>
      <c r="R43" s="3361">
        <f>E43</f>
        <v>0</v>
      </c>
      <c r="S43" s="3361"/>
      <c r="T43" s="3361">
        <f>G43</f>
        <v>0</v>
      </c>
      <c r="U43" s="3361"/>
      <c r="V43" s="3361">
        <f>I43</f>
        <v>0</v>
      </c>
      <c r="W43" s="3361"/>
      <c r="X43" s="1562"/>
      <c r="Y43" s="1584"/>
      <c r="Z43" s="1562"/>
      <c r="AA43" s="1562"/>
      <c r="AB43" s="1562"/>
      <c r="AC43" s="1562"/>
    </row>
    <row r="44" spans="1:29" ht="15.75" thickBot="1">
      <c r="A44" s="617" t="s">
        <v>2699</v>
      </c>
      <c r="B44" s="618"/>
      <c r="C44" s="619" t="e">
        <f>R45</f>
        <v>#DIV/0!</v>
      </c>
      <c r="D44" s="620"/>
      <c r="E44" s="619" t="e">
        <f>R44</f>
        <v>#DIV/0!</v>
      </c>
      <c r="F44" s="621"/>
      <c r="G44" s="622" t="e">
        <f>T44</f>
        <v>#DIV/0!</v>
      </c>
      <c r="H44" s="620"/>
      <c r="I44" s="619" t="e">
        <f>V44</f>
        <v>#DIV/0!</v>
      </c>
      <c r="J44" s="620"/>
      <c r="K44" s="1343"/>
      <c r="L44" s="2148"/>
      <c r="M44" s="2138"/>
      <c r="N44" s="2138"/>
      <c r="O44" s="2149"/>
      <c r="P44" s="3360" t="str">
        <f>A44</f>
        <v>比较价格（元/平方米）</v>
      </c>
      <c r="Q44" s="3360"/>
      <c r="R44" s="3362" t="e">
        <f>ROUND(PRODUCT(R43,AA9:AA42),0)</f>
        <v>#DIV/0!</v>
      </c>
      <c r="S44" s="3362"/>
      <c r="T44" s="3362" t="e">
        <f>ROUND(PRODUCT(T43,AB9:AB42),0)</f>
        <v>#DIV/0!</v>
      </c>
      <c r="U44" s="3362"/>
      <c r="V44" s="3362" t="e">
        <f>ROUND(PRODUCT(V43,AC9:AC42),0)</f>
        <v>#DIV/0!</v>
      </c>
      <c r="W44" s="3362"/>
      <c r="X44" s="1562"/>
      <c r="Y44" s="1562"/>
      <c r="Z44" s="1562"/>
      <c r="AA44" s="1562"/>
      <c r="AB44" s="1562"/>
      <c r="AC44" s="1562"/>
    </row>
    <row r="45" spans="1:29" ht="15.75" thickBot="1">
      <c r="A45" s="623" t="s">
        <v>2942</v>
      </c>
      <c r="B45" s="624"/>
      <c r="C45" s="625" t="e">
        <f>R45</f>
        <v>#DIV/0!</v>
      </c>
      <c r="D45" s="625"/>
      <c r="E45" s="625"/>
      <c r="F45" s="625"/>
      <c r="G45" s="625"/>
      <c r="H45" s="625"/>
      <c r="I45" s="625"/>
      <c r="J45" s="625"/>
      <c r="K45" s="1344"/>
      <c r="L45" s="2148"/>
      <c r="M45" s="2138"/>
      <c r="N45" s="2138"/>
      <c r="O45" s="2149"/>
      <c r="P45" s="3357" t="str">
        <f>A45</f>
        <v>估价对象XX用房的比较价格（楼面单价，元/平方米）</v>
      </c>
      <c r="Q45" s="3358"/>
      <c r="R45" s="3359" t="e">
        <f>ROUND(AVERAGE(R44:V44),0)</f>
        <v>#DIV/0!</v>
      </c>
      <c r="S45" s="3359"/>
      <c r="T45" s="3359"/>
      <c r="U45" s="3359"/>
      <c r="V45" s="3359"/>
      <c r="W45" s="3359"/>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7" customFormat="1" ht="13.5" customHeight="1">
      <c r="A50" s="2150"/>
      <c r="B50" s="2150"/>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7"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1" t="s">
        <v>561</v>
      </c>
      <c r="B52" s="632" t="s">
        <v>562</v>
      </c>
      <c r="C52" s="1563" t="s">
        <v>1723</v>
      </c>
      <c r="D52" s="2231" t="s">
        <v>2294</v>
      </c>
      <c r="E52" s="633" t="s">
        <v>563</v>
      </c>
      <c r="F52" s="1955" t="s">
        <v>564</v>
      </c>
      <c r="G52" s="3404" t="s">
        <v>2285</v>
      </c>
      <c r="H52" s="3405"/>
      <c r="I52" s="1956" t="s">
        <v>1946</v>
      </c>
      <c r="J52" s="1558">
        <f>项目基本情况!F41</f>
        <v>0</v>
      </c>
      <c r="K52" s="2158" t="s">
        <v>1722</v>
      </c>
      <c r="L52" s="2154"/>
      <c r="M52" s="2149"/>
      <c r="N52" s="2149"/>
      <c r="O52" s="2149"/>
      <c r="P52" s="2149"/>
      <c r="Q52" s="2149"/>
      <c r="R52" s="2149"/>
      <c r="S52" s="2149"/>
      <c r="T52" s="2149"/>
      <c r="U52" s="2149"/>
      <c r="V52" s="2149"/>
      <c r="W52" s="2149"/>
      <c r="X52" s="2149"/>
      <c r="Y52" s="2149"/>
      <c r="Z52" s="2149"/>
      <c r="AA52" s="2149"/>
      <c r="AB52" s="2149"/>
      <c r="AC52" s="2149"/>
    </row>
    <row r="53" spans="1:29" s="1348" customFormat="1" ht="12.75">
      <c r="A53" s="635" t="s">
        <v>565</v>
      </c>
      <c r="B53" s="636" t="e">
        <f>C45</f>
        <v>#DIV/0!</v>
      </c>
      <c r="C53" s="637">
        <v>1</v>
      </c>
      <c r="D53" s="2232">
        <v>1</v>
      </c>
      <c r="E53" s="637">
        <f>'数据-汇总表'!E8+'数据-汇总表'!E9</f>
        <v>67668.149999999994</v>
      </c>
      <c r="F53" s="1954" t="e">
        <f t="shared" ref="F53:F62" si="15">ROUND(B53*E53/10000,0)</f>
        <v>#DIV/0!</v>
      </c>
      <c r="G53" s="3406"/>
      <c r="H53" s="3407"/>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8" customFormat="1" ht="12.75">
      <c r="A54" s="639" t="s">
        <v>566</v>
      </c>
      <c r="B54" s="640" t="e">
        <f>ROUND($C$45*C54*D54,0)</f>
        <v>#DIV/0!</v>
      </c>
      <c r="C54" s="380">
        <f t="shared" ref="C54:C62" si="16">IF($C$52="北京市系数",I54,J54)</f>
        <v>0.7</v>
      </c>
      <c r="D54" s="2233">
        <v>0.25</v>
      </c>
      <c r="E54" s="641"/>
      <c r="F54" s="1954" t="e">
        <f t="shared" si="15"/>
        <v>#DIV/0!</v>
      </c>
      <c r="G54" s="3408" t="s">
        <v>2286</v>
      </c>
      <c r="H54" s="1958" t="str">
        <f>项目基本情况!B43</f>
        <v>六级</v>
      </c>
      <c r="I54" s="1957">
        <f>SUMIF(修正!$A$45:$A$56,H54,修正!B45:B56)</f>
        <v>0.7</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8" customFormat="1" ht="12.75">
      <c r="A55" s="639" t="s">
        <v>567</v>
      </c>
      <c r="B55" s="640" t="e">
        <f t="shared" ref="B55:B62" si="17">ROUND($C$45*C55*D55,0)</f>
        <v>#DIV/0!</v>
      </c>
      <c r="C55" s="380">
        <f t="shared" si="16"/>
        <v>0.4</v>
      </c>
      <c r="D55" s="2233">
        <v>0.25</v>
      </c>
      <c r="E55" s="641"/>
      <c r="F55" s="1954" t="e">
        <f t="shared" si="15"/>
        <v>#DIV/0!</v>
      </c>
      <c r="G55" s="3408"/>
      <c r="H55" s="1959" t="str">
        <f>项目基本情况!B43</f>
        <v>六级</v>
      </c>
      <c r="I55" s="1957">
        <f>SUMIF(修正!$A$45:$A$56,H55,修正!C45:C56)</f>
        <v>0.4</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8" customFormat="1" ht="12.75">
      <c r="A56" s="639" t="s">
        <v>568</v>
      </c>
      <c r="B56" s="640" t="e">
        <f t="shared" si="17"/>
        <v>#DIV/0!</v>
      </c>
      <c r="C56" s="380">
        <f t="shared" si="16"/>
        <v>0.28000000000000003</v>
      </c>
      <c r="D56" s="2233">
        <v>0.25</v>
      </c>
      <c r="E56" s="641"/>
      <c r="F56" s="1954" t="e">
        <f t="shared" si="15"/>
        <v>#DIV/0!</v>
      </c>
      <c r="G56" s="3408"/>
      <c r="H56" s="1959" t="str">
        <f>项目基本情况!B43</f>
        <v>六级</v>
      </c>
      <c r="I56" s="1957">
        <f>SUMIF(修正!$A$45:$A$56,H56,修正!D45:D56)</f>
        <v>0.28000000000000003</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8" customFormat="1" ht="12.75">
      <c r="A57" s="639" t="s">
        <v>569</v>
      </c>
      <c r="B57" s="640" t="e">
        <f t="shared" si="17"/>
        <v>#DIV/0!</v>
      </c>
      <c r="C57" s="380">
        <f t="shared" si="16"/>
        <v>0.25</v>
      </c>
      <c r="D57" s="2233">
        <v>0.25</v>
      </c>
      <c r="E57" s="641"/>
      <c r="F57" s="1954" t="e">
        <f t="shared" si="15"/>
        <v>#DIV/0!</v>
      </c>
      <c r="G57" s="3408"/>
      <c r="H57" s="1959" t="str">
        <f>项目基本情况!B43</f>
        <v>六级</v>
      </c>
      <c r="I57" s="1957">
        <f>SUMIF(修正!$A$45:$A$56,H57,修正!E45:E56)</f>
        <v>0.25</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8" customFormat="1" ht="12.75">
      <c r="A58" s="2335" t="s">
        <v>2329</v>
      </c>
      <c r="B58" s="640" t="e">
        <f t="shared" si="17"/>
        <v>#DIV/0!</v>
      </c>
      <c r="C58" s="380">
        <f t="shared" si="16"/>
        <v>0.25</v>
      </c>
      <c r="D58" s="2233">
        <v>0.25</v>
      </c>
      <c r="E58" s="643">
        <f>'数据-汇总表'!E11</f>
        <v>0</v>
      </c>
      <c r="F58" s="1954" t="e">
        <f t="shared" si="15"/>
        <v>#DIV/0!</v>
      </c>
      <c r="G58" s="1960" t="s">
        <v>2287</v>
      </c>
      <c r="H58" s="1959" t="str">
        <f>项目基本情况!C43</f>
        <v>六级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570</v>
      </c>
      <c r="B59" s="640" t="e">
        <f t="shared" si="17"/>
        <v>#DIV/0!</v>
      </c>
      <c r="C59" s="380">
        <f t="shared" si="16"/>
        <v>0.25</v>
      </c>
      <c r="D59" s="2233">
        <v>0.25</v>
      </c>
      <c r="E59" s="643">
        <f>'数据-汇总表'!E12</f>
        <v>0</v>
      </c>
      <c r="F59" s="1954" t="e">
        <f t="shared" si="15"/>
        <v>#DIV/0!</v>
      </c>
      <c r="G59" s="1950" t="s">
        <v>1679</v>
      </c>
      <c r="H59" s="1958" t="str">
        <f>IF(G59="商业",项目基本情况!B43,IF(G59="办公",项目基本情况!C43,IF(G59="住宅",项目基本情况!D43,项目基本情况!E43)))</f>
        <v>六级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571</v>
      </c>
      <c r="B60" s="640" t="e">
        <f t="shared" si="17"/>
        <v>#DIV/0!</v>
      </c>
      <c r="C60" s="380">
        <f t="shared" si="16"/>
        <v>0</v>
      </c>
      <c r="D60" s="2233">
        <v>0.25</v>
      </c>
      <c r="E60" s="643">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572</v>
      </c>
      <c r="B61" s="640" t="e">
        <f t="shared" si="17"/>
        <v>#DIV/0!</v>
      </c>
      <c r="C61" s="380">
        <f t="shared" si="16"/>
        <v>0.2</v>
      </c>
      <c r="D61" s="2233">
        <v>0.25</v>
      </c>
      <c r="E61" s="643">
        <f>'数据-汇总表'!E14</f>
        <v>0</v>
      </c>
      <c r="F61" s="1954" t="e">
        <f t="shared" si="15"/>
        <v>#DIV/0!</v>
      </c>
      <c r="G61" s="1960" t="s">
        <v>2286</v>
      </c>
      <c r="H61" s="1959" t="str">
        <f>项目基本情况!B43</f>
        <v>六级</v>
      </c>
      <c r="I61" s="1957">
        <f>SUMIF(修正!$A$45:$A$56,H61,修正!H45:H56)</f>
        <v>0.2</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3.5" thickBot="1">
      <c r="A62" s="639" t="s">
        <v>573</v>
      </c>
      <c r="B62" s="640" t="e">
        <f t="shared" si="17"/>
        <v>#DIV/0!</v>
      </c>
      <c r="C62" s="380">
        <f t="shared" si="16"/>
        <v>0.2</v>
      </c>
      <c r="D62" s="2233">
        <v>0.25</v>
      </c>
      <c r="E62" s="643">
        <f>'数据-汇总表'!E15</f>
        <v>15772.600000000002</v>
      </c>
      <c r="F62" s="1954" t="e">
        <f t="shared" si="15"/>
        <v>#DIV/0!</v>
      </c>
      <c r="G62" s="1961" t="s">
        <v>2287</v>
      </c>
      <c r="H62" s="1962" t="str">
        <f>项目基本情况!C43</f>
        <v>六级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3.5" thickBot="1">
      <c r="A63" s="644" t="s">
        <v>574</v>
      </c>
      <c r="B63" s="645" t="s">
        <v>17</v>
      </c>
      <c r="C63" s="645" t="s">
        <v>18</v>
      </c>
      <c r="D63" s="645" t="s">
        <v>2295</v>
      </c>
      <c r="E63" s="645">
        <f>IF(B43="楼面地价",SUM(E53:E62),'数据-汇总表'!D3)</f>
        <v>9522.6299999999992</v>
      </c>
      <c r="F63" s="646"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2017-10-1</v>
      </c>
      <c r="D65" s="2829">
        <f>EDATE(C65,-3)</f>
        <v>42917</v>
      </c>
      <c r="E65" s="2829">
        <f t="shared" ref="E65:N65" si="18">EDATE(D65,-3)</f>
        <v>42826</v>
      </c>
      <c r="F65" s="2829">
        <f t="shared" si="18"/>
        <v>42736</v>
      </c>
      <c r="G65" s="2829">
        <f t="shared" si="18"/>
        <v>42644</v>
      </c>
      <c r="H65" s="2829">
        <f t="shared" si="18"/>
        <v>42552</v>
      </c>
      <c r="I65" s="2829">
        <f t="shared" si="18"/>
        <v>42461</v>
      </c>
      <c r="J65" s="2829">
        <f t="shared" si="18"/>
        <v>42370</v>
      </c>
      <c r="K65" s="2829">
        <f t="shared" si="18"/>
        <v>42278</v>
      </c>
      <c r="L65" s="2829">
        <f t="shared" si="18"/>
        <v>42186</v>
      </c>
      <c r="M65" s="2829">
        <f t="shared" si="18"/>
        <v>42095</v>
      </c>
      <c r="N65" s="2829">
        <f t="shared" si="18"/>
        <v>42005</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49" customFormat="1" ht="15">
      <c r="A67" s="2596" t="s">
        <v>2537</v>
      </c>
      <c r="B67" s="648"/>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2" customFormat="1" ht="27.75" customHeight="1">
      <c r="A68" s="2828" t="s">
        <v>2655</v>
      </c>
      <c r="B68" s="481" t="str">
        <f>"北京市平均增长率"&amp;TEXT(基准地价!P24,"0.00%")</f>
        <v>北京市平均增长率1.39%</v>
      </c>
      <c r="C68" s="896">
        <v>100</v>
      </c>
      <c r="D68" s="732"/>
      <c r="E68" s="732"/>
      <c r="F68" s="732"/>
      <c r="G68" s="732"/>
      <c r="H68" s="732"/>
      <c r="I68" s="732"/>
      <c r="J68" s="732"/>
      <c r="K68" s="732"/>
      <c r="L68" s="732"/>
      <c r="M68" s="2822"/>
      <c r="N68" s="2823"/>
      <c r="O68" s="2166"/>
      <c r="P68" s="2162"/>
      <c r="Q68" s="1997"/>
      <c r="R68" s="1997"/>
      <c r="S68" s="1997"/>
      <c r="T68" s="1997"/>
      <c r="U68" s="1997"/>
      <c r="V68" s="1997"/>
      <c r="W68" s="1997"/>
      <c r="X68" s="1997"/>
      <c r="Y68" s="1997"/>
      <c r="Z68" s="1997"/>
      <c r="AA68" s="1997"/>
      <c r="AB68" s="1997"/>
      <c r="AC68" s="1997"/>
    </row>
    <row r="69" spans="1:29" s="1222" customFormat="1" ht="15.75" thickBot="1">
      <c r="A69" s="655" t="s">
        <v>576</v>
      </c>
      <c r="B69" s="656"/>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66"/>
      <c r="O70" s="2166"/>
      <c r="P70" s="2167"/>
      <c r="Q70" s="2162"/>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66"/>
      <c r="O71" s="2166"/>
      <c r="P71" s="2162"/>
      <c r="Q71" s="2162"/>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68"/>
      <c r="O72" s="2168"/>
      <c r="P72" s="2169"/>
      <c r="Q72" s="2162"/>
      <c r="R72" s="2149"/>
      <c r="S72" s="2149"/>
      <c r="T72" s="2149"/>
      <c r="U72" s="2149"/>
      <c r="V72" s="2149"/>
      <c r="W72" s="2149"/>
      <c r="X72" s="2149"/>
      <c r="Y72" s="2149"/>
      <c r="Z72" s="2149"/>
      <c r="AA72" s="2149"/>
      <c r="AB72" s="2149"/>
      <c r="AC72" s="2149"/>
    </row>
    <row r="73" spans="1:29" ht="15.75" thickBot="1">
      <c r="A73" s="671"/>
      <c r="B73" s="672"/>
      <c r="C73" s="673"/>
      <c r="D73" s="673"/>
      <c r="E73" s="673"/>
      <c r="F73" s="673"/>
      <c r="G73" s="673"/>
      <c r="H73" s="673"/>
      <c r="I73" s="673"/>
      <c r="J73" s="673"/>
      <c r="K73" s="673"/>
      <c r="L73" s="673"/>
      <c r="M73" s="674"/>
      <c r="N73" s="2170"/>
      <c r="O73" s="2170"/>
      <c r="P73" s="2169"/>
      <c r="Q73" s="2162"/>
      <c r="R73" s="2149"/>
      <c r="S73" s="2149"/>
      <c r="T73" s="2149"/>
      <c r="U73" s="2149"/>
      <c r="V73" s="2149"/>
      <c r="W73" s="2149"/>
      <c r="X73" s="2149"/>
      <c r="Y73" s="2149"/>
      <c r="Z73" s="2149"/>
      <c r="AA73" s="2149"/>
      <c r="AB73" s="2149"/>
      <c r="AC73" s="2149"/>
    </row>
    <row r="74" spans="1:29" ht="27.75" thickTop="1">
      <c r="A74" s="671"/>
      <c r="B74" s="675" t="s">
        <v>538</v>
      </c>
      <c r="C74" s="676"/>
      <c r="D74" s="676"/>
      <c r="E74" s="676"/>
      <c r="F74" s="676"/>
      <c r="G74" s="676"/>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c r="D75" s="681"/>
      <c r="E75" s="681"/>
      <c r="F75" s="681"/>
      <c r="G75" s="681"/>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1"/>
      <c r="B77" s="685"/>
      <c r="C77" s="543"/>
      <c r="D77" s="543"/>
      <c r="E77" s="543"/>
      <c r="F77" s="543"/>
      <c r="G77" s="543"/>
      <c r="H77" s="543"/>
      <c r="I77" s="543"/>
      <c r="J77" s="543"/>
      <c r="K77" s="686"/>
      <c r="L77" s="687"/>
      <c r="M77" s="688"/>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0"/>
      <c r="O78" s="2170"/>
      <c r="P78" s="2169"/>
      <c r="Q78" s="2162"/>
      <c r="R78" s="2149"/>
      <c r="S78" s="2149"/>
      <c r="T78" s="2149"/>
      <c r="U78" s="2149"/>
      <c r="V78" s="2149"/>
      <c r="W78" s="2149"/>
      <c r="X78" s="2149"/>
      <c r="Y78" s="2149"/>
      <c r="Z78" s="2149"/>
      <c r="AA78" s="2149"/>
      <c r="AB78" s="2149"/>
      <c r="AC78" s="2149"/>
    </row>
    <row r="79" spans="1:29" s="1341" customFormat="1" ht="15.75" thickTop="1">
      <c r="A79" s="689"/>
      <c r="B79" s="675">
        <f>B14</f>
        <v>111</v>
      </c>
      <c r="C79" s="690"/>
      <c r="D79" s="690"/>
      <c r="E79" s="690"/>
      <c r="F79" s="690"/>
      <c r="G79" s="690"/>
      <c r="H79" s="691"/>
      <c r="I79" s="691"/>
      <c r="J79" s="691"/>
      <c r="K79" s="691"/>
      <c r="L79" s="692"/>
      <c r="M79" s="693"/>
      <c r="N79" s="2171"/>
      <c r="O79" s="2171"/>
      <c r="P79" s="2172"/>
      <c r="Q79" s="2173"/>
      <c r="R79" s="2174"/>
      <c r="S79" s="2174"/>
      <c r="T79" s="2174"/>
      <c r="U79" s="2174"/>
      <c r="V79" s="2174"/>
      <c r="W79" s="2174"/>
      <c r="X79" s="2174"/>
      <c r="Y79" s="2174"/>
      <c r="Z79" s="2174"/>
      <c r="AA79" s="2174"/>
      <c r="AB79" s="2174"/>
      <c r="AC79" s="2174"/>
    </row>
    <row r="80" spans="1:29" s="1341" customFormat="1" ht="15.75" thickBot="1">
      <c r="A80" s="689"/>
      <c r="B80" s="680"/>
      <c r="C80" s="694"/>
      <c r="D80" s="673"/>
      <c r="E80" s="673"/>
      <c r="F80" s="673"/>
      <c r="G80" s="673"/>
      <c r="H80" s="673"/>
      <c r="I80" s="673"/>
      <c r="J80" s="673"/>
      <c r="K80" s="673"/>
      <c r="L80" s="673"/>
      <c r="M80" s="674"/>
      <c r="N80" s="2170"/>
      <c r="O80" s="2170"/>
      <c r="P80" s="2172"/>
      <c r="Q80" s="2173"/>
      <c r="R80" s="2174"/>
      <c r="S80" s="2174"/>
      <c r="T80" s="2174"/>
      <c r="U80" s="2174"/>
      <c r="V80" s="2174"/>
      <c r="W80" s="2174"/>
      <c r="X80" s="2174"/>
      <c r="Y80" s="2174"/>
      <c r="Z80" s="2174"/>
      <c r="AA80" s="2174"/>
      <c r="AB80" s="2174"/>
      <c r="AC80" s="2174"/>
    </row>
    <row r="81" spans="1:29" s="1341" customFormat="1" ht="15.75" thickTop="1">
      <c r="A81" s="689"/>
      <c r="B81" s="675">
        <f>B15</f>
        <v>111</v>
      </c>
      <c r="C81" s="690"/>
      <c r="D81" s="690"/>
      <c r="E81" s="690"/>
      <c r="F81" s="690"/>
      <c r="G81" s="690"/>
      <c r="H81" s="691"/>
      <c r="I81" s="691"/>
      <c r="J81" s="691"/>
      <c r="K81" s="691"/>
      <c r="L81" s="692"/>
      <c r="M81" s="693"/>
      <c r="N81" s="2171"/>
      <c r="O81" s="2171"/>
      <c r="P81" s="2175"/>
      <c r="Q81" s="2176"/>
      <c r="R81" s="2174"/>
      <c r="S81" s="2174"/>
      <c r="T81" s="2174"/>
      <c r="U81" s="2174"/>
      <c r="V81" s="2174"/>
      <c r="W81" s="2174"/>
      <c r="X81" s="2174"/>
      <c r="Y81" s="2174"/>
      <c r="Z81" s="2174"/>
      <c r="AA81" s="2174"/>
      <c r="AB81" s="2174"/>
      <c r="AC81" s="2174"/>
    </row>
    <row r="82" spans="1:29" s="1341" customFormat="1" ht="15.75" thickBot="1">
      <c r="A82" s="689"/>
      <c r="B82" s="680"/>
      <c r="C82" s="694"/>
      <c r="D82" s="694"/>
      <c r="E82" s="694"/>
      <c r="F82" s="694"/>
      <c r="G82" s="694"/>
      <c r="H82" s="695"/>
      <c r="I82" s="695"/>
      <c r="J82" s="695"/>
      <c r="K82" s="695"/>
      <c r="L82" s="695"/>
      <c r="M82" s="696"/>
      <c r="N82" s="2171"/>
      <c r="O82" s="2171"/>
      <c r="P82" s="2172"/>
      <c r="Q82" s="2173"/>
      <c r="R82" s="2174"/>
      <c r="S82" s="2174"/>
      <c r="T82" s="2174"/>
      <c r="U82" s="2174"/>
      <c r="V82" s="2174"/>
      <c r="W82" s="2174"/>
      <c r="X82" s="2174"/>
      <c r="Y82" s="2174"/>
      <c r="Z82" s="2174"/>
      <c r="AA82" s="2174"/>
      <c r="AB82" s="2174"/>
      <c r="AC82" s="2174"/>
    </row>
    <row r="83" spans="1:29" s="1341" customFormat="1" ht="15.75" thickTop="1">
      <c r="A83" s="689"/>
      <c r="B83" s="683">
        <f>B16</f>
        <v>111</v>
      </c>
      <c r="C83" s="663"/>
      <c r="D83" s="663"/>
      <c r="E83" s="663"/>
      <c r="F83" s="663"/>
      <c r="G83" s="663"/>
      <c r="H83" s="697"/>
      <c r="I83" s="697"/>
      <c r="J83" s="697"/>
      <c r="K83" s="697"/>
      <c r="L83" s="698"/>
      <c r="M83" s="699"/>
      <c r="N83" s="2171"/>
      <c r="O83" s="2171"/>
      <c r="P83" s="2177"/>
      <c r="Q83" s="2173"/>
      <c r="R83" s="2174"/>
      <c r="S83" s="2174"/>
      <c r="T83" s="2174"/>
      <c r="U83" s="2174"/>
      <c r="V83" s="2174"/>
      <c r="W83" s="2174"/>
      <c r="X83" s="2174"/>
      <c r="Y83" s="2174"/>
      <c r="Z83" s="2174"/>
      <c r="AA83" s="2174"/>
      <c r="AB83" s="2174"/>
      <c r="AC83" s="2174"/>
    </row>
    <row r="84" spans="1:29" s="1341" customFormat="1" ht="15.75" thickBot="1">
      <c r="A84" s="700"/>
      <c r="B84" s="701"/>
      <c r="C84" s="702"/>
      <c r="D84" s="702"/>
      <c r="E84" s="702"/>
      <c r="F84" s="702"/>
      <c r="G84" s="702"/>
      <c r="H84" s="703"/>
      <c r="I84" s="703"/>
      <c r="J84" s="703"/>
      <c r="K84" s="703"/>
      <c r="L84" s="703"/>
      <c r="M84" s="704"/>
      <c r="N84" s="2171"/>
      <c r="O84" s="2171"/>
      <c r="P84" s="2172"/>
      <c r="Q84" s="2173"/>
      <c r="R84" s="2174"/>
      <c r="S84" s="2174"/>
      <c r="T84" s="2174"/>
      <c r="U84" s="2174"/>
      <c r="V84" s="2174"/>
      <c r="W84" s="2174"/>
      <c r="X84" s="2174"/>
      <c r="Y84" s="2174"/>
      <c r="Z84" s="2174"/>
      <c r="AA84" s="2174"/>
      <c r="AB84" s="2174"/>
      <c r="AC84" s="2174"/>
    </row>
    <row r="85" spans="1:29">
      <c r="A85" s="666" t="s">
        <v>540</v>
      </c>
      <c r="B85" s="667" t="s">
        <v>603</v>
      </c>
      <c r="C85" s="705" t="s">
        <v>580</v>
      </c>
      <c r="D85" s="705" t="s">
        <v>581</v>
      </c>
      <c r="E85" s="705" t="s">
        <v>582</v>
      </c>
      <c r="F85" s="705" t="s">
        <v>583</v>
      </c>
      <c r="G85" s="705" t="s">
        <v>584</v>
      </c>
      <c r="H85" s="706"/>
      <c r="I85" s="706"/>
      <c r="J85" s="706"/>
      <c r="K85" s="707"/>
      <c r="L85" s="708"/>
      <c r="M85" s="709"/>
      <c r="N85" s="2168"/>
      <c r="O85" s="2168"/>
      <c r="P85" s="2178"/>
      <c r="Q85" s="2162"/>
      <c r="R85" s="2149"/>
      <c r="S85" s="2149"/>
      <c r="T85" s="2149"/>
      <c r="U85" s="2149"/>
      <c r="V85" s="2149"/>
      <c r="W85" s="2149"/>
      <c r="X85" s="2149"/>
      <c r="Y85" s="2149"/>
      <c r="Z85" s="2149"/>
      <c r="AA85" s="2149"/>
      <c r="AB85" s="2149"/>
      <c r="AC85" s="2149"/>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0"/>
      <c r="O86" s="2170"/>
      <c r="P86" s="2169"/>
      <c r="Q86" s="2162"/>
      <c r="R86" s="2149"/>
      <c r="S86" s="2149"/>
      <c r="T86" s="2149"/>
      <c r="U86" s="2149"/>
      <c r="V86" s="2149"/>
      <c r="W86" s="2149"/>
      <c r="X86" s="2149"/>
      <c r="Y86" s="2149"/>
      <c r="Z86" s="2149"/>
      <c r="AA86" s="2149"/>
      <c r="AB86" s="2149"/>
      <c r="AC86" s="2149"/>
    </row>
    <row r="87" spans="1:29" ht="15.75" thickTop="1">
      <c r="A87" s="671"/>
      <c r="B87" s="675" t="s">
        <v>587</v>
      </c>
      <c r="C87" s="710" t="s">
        <v>580</v>
      </c>
      <c r="D87" s="710" t="s">
        <v>581</v>
      </c>
      <c r="E87" s="710" t="s">
        <v>582</v>
      </c>
      <c r="F87" s="710" t="s">
        <v>583</v>
      </c>
      <c r="G87" s="710" t="s">
        <v>584</v>
      </c>
      <c r="H87" s="676"/>
      <c r="I87" s="676"/>
      <c r="J87" s="676"/>
      <c r="K87" s="677"/>
      <c r="L87" s="678"/>
      <c r="M87" s="679"/>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0"/>
      <c r="O88" s="2170"/>
      <c r="P88" s="2169"/>
      <c r="Q88" s="2162"/>
      <c r="R88" s="2149"/>
      <c r="S88" s="2149"/>
      <c r="T88" s="2149"/>
      <c r="U88" s="2149"/>
      <c r="V88" s="2149"/>
      <c r="W88" s="2149"/>
      <c r="X88" s="2149"/>
      <c r="Y88" s="2149"/>
      <c r="Z88" s="2149"/>
      <c r="AA88" s="2149"/>
      <c r="AB88" s="2149"/>
      <c r="AC88" s="2149"/>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6"/>
      <c r="O89" s="2166"/>
      <c r="P89" s="2169"/>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0"/>
      <c r="O90" s="2170"/>
      <c r="P90" s="2169"/>
      <c r="Q90" s="2162"/>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6"/>
      <c r="O91" s="2166"/>
      <c r="P91" s="2169"/>
      <c r="Q91" s="2162"/>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0"/>
      <c r="O92" s="2170"/>
      <c r="P92" s="2169"/>
      <c r="Q92" s="2162"/>
      <c r="R92" s="1997"/>
      <c r="S92" s="1997"/>
      <c r="T92" s="1997"/>
      <c r="U92" s="1997"/>
      <c r="V92" s="1997"/>
      <c r="W92" s="1997"/>
      <c r="X92" s="1997"/>
      <c r="Y92" s="1997"/>
      <c r="Z92" s="1997"/>
      <c r="AA92" s="1997"/>
      <c r="AB92" s="1997"/>
      <c r="AC92" s="1997"/>
    </row>
    <row r="93" spans="1:29" s="1341" customFormat="1" ht="15.75" thickTop="1">
      <c r="A93" s="689"/>
      <c r="B93" s="1900" t="s">
        <v>2552</v>
      </c>
      <c r="C93" s="705" t="s">
        <v>580</v>
      </c>
      <c r="D93" s="705" t="s">
        <v>581</v>
      </c>
      <c r="E93" s="705" t="s">
        <v>582</v>
      </c>
      <c r="F93" s="705" t="s">
        <v>583</v>
      </c>
      <c r="G93" s="705" t="s">
        <v>584</v>
      </c>
      <c r="H93" s="715"/>
      <c r="I93" s="715"/>
      <c r="J93" s="715"/>
      <c r="K93" s="715"/>
      <c r="L93" s="716"/>
      <c r="M93" s="717"/>
      <c r="N93" s="2171"/>
      <c r="O93" s="2171"/>
      <c r="P93" s="2172"/>
      <c r="Q93" s="2173"/>
      <c r="R93" s="2174"/>
      <c r="S93" s="2174"/>
      <c r="T93" s="2174"/>
      <c r="U93" s="2174"/>
      <c r="V93" s="2174"/>
      <c r="W93" s="2174"/>
      <c r="X93" s="2174"/>
      <c r="Y93" s="2174"/>
      <c r="Z93" s="2174"/>
      <c r="AA93" s="2174"/>
      <c r="AB93" s="2174"/>
      <c r="AC93" s="2174"/>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1"/>
      <c r="O94" s="2171"/>
      <c r="P94" s="2172"/>
      <c r="Q94" s="2173"/>
      <c r="R94" s="2174"/>
      <c r="S94" s="2174"/>
      <c r="T94" s="2174"/>
      <c r="U94" s="2174"/>
      <c r="V94" s="2174"/>
      <c r="W94" s="2174"/>
      <c r="X94" s="2174"/>
      <c r="Y94" s="2174"/>
      <c r="Z94" s="2174"/>
      <c r="AA94" s="2174"/>
      <c r="AB94" s="2174"/>
      <c r="AC94" s="2174"/>
    </row>
    <row r="95" spans="1:29" s="1341" customFormat="1" ht="15.75" thickTop="1">
      <c r="A95" s="689"/>
      <c r="B95" s="2625" t="s">
        <v>2554</v>
      </c>
      <c r="C95" s="2626" t="s">
        <v>2555</v>
      </c>
      <c r="D95" s="2626" t="s">
        <v>2556</v>
      </c>
      <c r="E95" s="2626" t="s">
        <v>2557</v>
      </c>
      <c r="F95" s="2626" t="s">
        <v>2558</v>
      </c>
      <c r="G95" s="2626" t="s">
        <v>2559</v>
      </c>
      <c r="H95" s="715"/>
      <c r="I95" s="715"/>
      <c r="J95" s="715"/>
      <c r="K95" s="715"/>
      <c r="L95" s="715"/>
      <c r="M95" s="717"/>
      <c r="N95" s="2171"/>
      <c r="O95" s="2171"/>
      <c r="P95" s="2172"/>
      <c r="Q95" s="2173"/>
      <c r="R95" s="2174"/>
      <c r="S95" s="2174"/>
      <c r="T95" s="2174"/>
      <c r="U95" s="2174"/>
      <c r="V95" s="2174"/>
      <c r="W95" s="2174"/>
      <c r="X95" s="2174"/>
      <c r="Y95" s="2174"/>
      <c r="Z95" s="2174"/>
      <c r="AA95" s="2174"/>
      <c r="AB95" s="2174"/>
      <c r="AC95" s="2174"/>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18"/>
      <c r="N96" s="2171"/>
      <c r="O96" s="2171"/>
      <c r="P96" s="2172"/>
      <c r="Q96" s="2173"/>
      <c r="R96" s="2174"/>
      <c r="S96" s="2174"/>
      <c r="T96" s="2174"/>
      <c r="U96" s="2174"/>
      <c r="V96" s="2174"/>
      <c r="W96" s="2174"/>
      <c r="X96" s="2174"/>
      <c r="Y96" s="2174"/>
      <c r="Z96" s="2174"/>
      <c r="AA96" s="2174"/>
      <c r="AB96" s="2174"/>
      <c r="AC96" s="2174"/>
    </row>
    <row r="97" spans="1:29" ht="15.75" thickTop="1">
      <c r="A97" s="671"/>
      <c r="B97" s="675" t="str">
        <f>B29</f>
        <v>临街状况</v>
      </c>
      <c r="C97" s="676" t="s">
        <v>590</v>
      </c>
      <c r="D97" s="676" t="s">
        <v>591</v>
      </c>
      <c r="E97" s="676" t="s">
        <v>592</v>
      </c>
      <c r="F97" s="676" t="s">
        <v>593</v>
      </c>
      <c r="G97" s="676"/>
      <c r="H97" s="676"/>
      <c r="I97" s="676"/>
      <c r="J97" s="676"/>
      <c r="K97" s="677"/>
      <c r="L97" s="678"/>
      <c r="M97" s="679"/>
      <c r="N97" s="2168"/>
      <c r="O97" s="2168"/>
      <c r="P97" s="2169"/>
      <c r="Q97" s="2162"/>
      <c r="R97" s="2149"/>
      <c r="S97" s="2149"/>
      <c r="T97" s="2149"/>
      <c r="U97" s="2149"/>
      <c r="V97" s="2149"/>
      <c r="W97" s="2149"/>
      <c r="X97" s="2149"/>
      <c r="Y97" s="2149"/>
      <c r="Z97" s="2149"/>
      <c r="AA97" s="2149"/>
      <c r="AB97" s="2149"/>
      <c r="AC97" s="2149"/>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1"/>
      <c r="B99" s="675" t="s">
        <v>549</v>
      </c>
      <c r="C99" s="690"/>
      <c r="D99" s="690"/>
      <c r="E99" s="690"/>
      <c r="F99" s="690"/>
      <c r="G99" s="690"/>
      <c r="H99" s="720"/>
      <c r="I99" s="720"/>
      <c r="J99" s="720"/>
      <c r="K99" s="721"/>
      <c r="L99" s="722"/>
      <c r="M99" s="723"/>
      <c r="N99" s="2168"/>
      <c r="O99" s="2168"/>
      <c r="P99" s="2169"/>
      <c r="Q99" s="2162"/>
      <c r="R99" s="2149"/>
      <c r="S99" s="2149"/>
      <c r="T99" s="2149"/>
      <c r="U99" s="2149"/>
      <c r="V99" s="2149"/>
      <c r="W99" s="2149"/>
      <c r="X99" s="2149"/>
      <c r="Y99" s="2149"/>
      <c r="Z99" s="2149"/>
      <c r="AA99" s="2149"/>
      <c r="AB99" s="2149"/>
      <c r="AC99" s="2149"/>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1"/>
      <c r="B101" s="675" t="s">
        <v>550</v>
      </c>
      <c r="C101" s="720"/>
      <c r="D101" s="720"/>
      <c r="E101" s="720"/>
      <c r="F101" s="720"/>
      <c r="G101" s="720"/>
      <c r="H101" s="720"/>
      <c r="I101" s="720"/>
      <c r="J101" s="720"/>
      <c r="K101" s="721"/>
      <c r="L101" s="722"/>
      <c r="M101" s="72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1"/>
      <c r="B103" s="683">
        <f>B33</f>
        <v>111</v>
      </c>
      <c r="C103" s="690"/>
      <c r="D103" s="690"/>
      <c r="E103" s="690"/>
      <c r="F103" s="690"/>
      <c r="G103" s="724"/>
      <c r="H103" s="724"/>
      <c r="I103" s="724"/>
      <c r="J103" s="724"/>
      <c r="K103" s="725"/>
      <c r="L103" s="726"/>
      <c r="M103" s="727"/>
      <c r="N103" s="2168"/>
      <c r="O103" s="2168"/>
      <c r="P103" s="2169"/>
      <c r="Q103" s="2162"/>
      <c r="R103" s="2149"/>
      <c r="S103" s="2149"/>
      <c r="T103" s="2149"/>
      <c r="U103" s="2149"/>
      <c r="V103" s="2149"/>
      <c r="W103" s="2149"/>
      <c r="X103" s="2149"/>
      <c r="Y103" s="2149"/>
      <c r="Z103" s="2149"/>
      <c r="AA103" s="2149"/>
      <c r="AB103" s="2149"/>
      <c r="AC103" s="2149"/>
    </row>
    <row r="104" spans="1:29" ht="15.75" thickBot="1">
      <c r="A104" s="671"/>
      <c r="B104" s="701"/>
      <c r="C104" s="694"/>
      <c r="D104" s="673"/>
      <c r="E104" s="673"/>
      <c r="F104" s="673"/>
      <c r="G104" s="728"/>
      <c r="H104" s="728"/>
      <c r="I104" s="728"/>
      <c r="J104" s="728"/>
      <c r="K104" s="728"/>
      <c r="L104" s="728"/>
      <c r="M104" s="729"/>
      <c r="N104" s="2170"/>
      <c r="O104" s="2170"/>
      <c r="P104" s="2169"/>
      <c r="Q104" s="2162"/>
      <c r="R104" s="2149"/>
      <c r="S104" s="2149"/>
      <c r="T104" s="2149"/>
      <c r="U104" s="2149"/>
      <c r="V104" s="2149"/>
      <c r="W104" s="2149"/>
      <c r="X104" s="2149"/>
      <c r="Y104" s="2149"/>
      <c r="Z104" s="2149"/>
      <c r="AA104" s="2149"/>
      <c r="AB104" s="2149"/>
      <c r="AC104" s="2149"/>
    </row>
    <row r="105" spans="1:29" ht="15" thickTop="1">
      <c r="A105" s="589"/>
      <c r="B105" s="675">
        <f>B34</f>
        <v>111</v>
      </c>
      <c r="C105" s="690"/>
      <c r="D105" s="690"/>
      <c r="E105" s="690"/>
      <c r="F105" s="69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94"/>
      <c r="D106" s="694"/>
      <c r="E106" s="694"/>
      <c r="F106" s="694"/>
      <c r="G106" s="673"/>
      <c r="H106" s="673"/>
      <c r="I106" s="673"/>
      <c r="J106" s="673"/>
      <c r="K106" s="673"/>
      <c r="L106" s="673"/>
      <c r="M106" s="674"/>
      <c r="N106" s="2170"/>
      <c r="O106" s="2170"/>
      <c r="P106" s="2169"/>
      <c r="Q106" s="2162"/>
      <c r="R106" s="2149"/>
      <c r="S106" s="2149"/>
      <c r="T106" s="2149"/>
      <c r="U106" s="2149"/>
      <c r="V106" s="2149"/>
      <c r="W106" s="2149"/>
      <c r="X106" s="2149"/>
      <c r="Y106" s="2149"/>
      <c r="Z106" s="2149"/>
      <c r="AA106" s="2149"/>
      <c r="AB106" s="2149"/>
      <c r="AC106" s="2149"/>
    </row>
    <row r="107" spans="1:29" s="1341" customFormat="1" ht="15" thickTop="1">
      <c r="A107" s="730"/>
      <c r="B107" s="731">
        <f>B35</f>
        <v>111</v>
      </c>
      <c r="C107" s="663"/>
      <c r="D107" s="663"/>
      <c r="E107" s="663"/>
      <c r="F107" s="663"/>
      <c r="G107" s="732"/>
      <c r="H107" s="732"/>
      <c r="I107" s="732"/>
      <c r="J107" s="733"/>
      <c r="K107" s="733"/>
      <c r="L107" s="734"/>
      <c r="M107" s="735"/>
      <c r="N107" s="2171"/>
      <c r="O107" s="2171"/>
      <c r="P107" s="2172"/>
      <c r="Q107" s="2173"/>
      <c r="R107" s="2174"/>
      <c r="S107" s="2174"/>
      <c r="T107" s="2174"/>
      <c r="U107" s="2174"/>
      <c r="V107" s="2174"/>
      <c r="W107" s="2174"/>
      <c r="X107" s="2174"/>
      <c r="Y107" s="2174"/>
      <c r="Z107" s="2174"/>
      <c r="AA107" s="2174"/>
      <c r="AB107" s="2174"/>
      <c r="AC107" s="2174"/>
    </row>
    <row r="108" spans="1:29" s="1341" customFormat="1" ht="15.75" thickBot="1">
      <c r="A108" s="689"/>
      <c r="B108" s="683"/>
      <c r="C108" s="702"/>
      <c r="D108" s="702"/>
      <c r="E108" s="702"/>
      <c r="F108" s="702"/>
      <c r="G108" s="594"/>
      <c r="H108" s="594"/>
      <c r="I108" s="594"/>
      <c r="J108" s="594"/>
      <c r="K108" s="594"/>
      <c r="L108" s="594"/>
      <c r="M108" s="736"/>
      <c r="N108" s="2170"/>
      <c r="O108" s="2170"/>
      <c r="P108" s="2172"/>
      <c r="Q108" s="2173"/>
      <c r="R108" s="2174"/>
      <c r="S108" s="2174"/>
      <c r="T108" s="2174"/>
      <c r="U108" s="2174"/>
      <c r="V108" s="2174"/>
      <c r="W108" s="2174"/>
      <c r="X108" s="2174"/>
      <c r="Y108" s="2174"/>
      <c r="Z108" s="2174"/>
      <c r="AA108" s="2174"/>
      <c r="AB108" s="2174"/>
      <c r="AC108" s="2174"/>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2" t="str">
        <f t="shared" si="25"/>
        <v>(含)-</v>
      </c>
      <c r="L109" s="3123" t="str">
        <f t="shared" si="25"/>
        <v>(含)-</v>
      </c>
      <c r="M109" s="3124"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1"/>
      <c r="B110" s="683"/>
      <c r="C110" s="732"/>
      <c r="D110" s="732"/>
      <c r="E110" s="732"/>
      <c r="F110" s="732"/>
      <c r="G110" s="732"/>
      <c r="H110" s="732"/>
      <c r="I110" s="732"/>
      <c r="J110" s="733"/>
      <c r="K110" s="733"/>
      <c r="L110" s="734"/>
      <c r="M110" s="735"/>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02"/>
      <c r="D111" s="728"/>
      <c r="E111" s="728"/>
      <c r="F111" s="728"/>
      <c r="G111" s="728"/>
      <c r="H111" s="728"/>
      <c r="I111" s="728"/>
      <c r="J111" s="728"/>
      <c r="K111" s="728"/>
      <c r="L111" s="728"/>
      <c r="M111" s="729"/>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75" t="s">
        <v>595</v>
      </c>
      <c r="C112" s="720"/>
      <c r="D112" s="720"/>
      <c r="E112" s="720"/>
      <c r="F112" s="720"/>
      <c r="G112" s="720"/>
      <c r="H112" s="720"/>
      <c r="I112" s="720"/>
      <c r="J112" s="720"/>
      <c r="K112" s="721"/>
      <c r="L112" s="722"/>
      <c r="M112" s="723"/>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0"/>
      <c r="O113" s="2170"/>
      <c r="P113" s="2169"/>
      <c r="Q113" s="2162"/>
      <c r="R113" s="2149"/>
      <c r="S113" s="2149"/>
      <c r="T113" s="2149"/>
      <c r="U113" s="2149"/>
      <c r="V113" s="2149"/>
      <c r="W113" s="2149"/>
      <c r="X113" s="2149"/>
      <c r="Y113" s="2149"/>
      <c r="Z113" s="2149"/>
      <c r="AA113" s="2149"/>
      <c r="AB113" s="2149"/>
      <c r="AC113" s="2149"/>
    </row>
    <row r="114" spans="1:29" s="1341" customFormat="1" ht="15" thickTop="1">
      <c r="A114" s="730"/>
      <c r="B114" s="1900" t="s">
        <v>2427</v>
      </c>
      <c r="C114" s="1378"/>
      <c r="D114" s="1378"/>
      <c r="E114" s="1378"/>
      <c r="F114" s="1378"/>
      <c r="G114" s="1378"/>
      <c r="H114" s="720"/>
      <c r="I114" s="720"/>
      <c r="J114" s="720"/>
      <c r="K114" s="721"/>
      <c r="L114" s="722"/>
      <c r="M114" s="723"/>
      <c r="N114" s="2171"/>
      <c r="O114" s="2171"/>
      <c r="P114" s="2172"/>
      <c r="Q114" s="2173"/>
      <c r="R114" s="2174"/>
      <c r="S114" s="2174"/>
      <c r="T114" s="2174"/>
      <c r="U114" s="2174"/>
      <c r="V114" s="2174"/>
      <c r="W114" s="2174"/>
      <c r="X114" s="2174"/>
      <c r="Y114" s="2174"/>
      <c r="Z114" s="2174"/>
      <c r="AA114" s="2174"/>
      <c r="AB114" s="2174"/>
      <c r="AC114" s="2174"/>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7"/>
      <c r="B116" s="675" t="s">
        <v>597</v>
      </c>
      <c r="C116" s="690"/>
      <c r="D116" s="690"/>
      <c r="E116" s="720"/>
      <c r="F116" s="720"/>
      <c r="G116" s="72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f>B40</f>
        <v>111</v>
      </c>
      <c r="C118" s="690"/>
      <c r="D118" s="690"/>
      <c r="E118" s="690"/>
      <c r="F118" s="690"/>
      <c r="G118" s="69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ht="15" thickTop="1">
      <c r="A120" s="737"/>
      <c r="B120" s="675">
        <f>B41</f>
        <v>111</v>
      </c>
      <c r="C120" s="690"/>
      <c r="D120" s="690"/>
      <c r="E120" s="690"/>
      <c r="F120" s="690"/>
      <c r="G120" s="720"/>
      <c r="H120" s="720"/>
      <c r="I120" s="720"/>
      <c r="J120" s="720"/>
      <c r="K120" s="721"/>
      <c r="L120" s="722"/>
      <c r="M120" s="723"/>
      <c r="N120" s="2168"/>
      <c r="O120" s="2168"/>
      <c r="P120" s="2169"/>
      <c r="Q120" s="2162"/>
      <c r="R120" s="2149"/>
      <c r="S120" s="2149"/>
      <c r="T120" s="2149"/>
      <c r="U120" s="2149"/>
      <c r="V120" s="2149"/>
      <c r="W120" s="2149"/>
      <c r="X120" s="2149"/>
      <c r="Y120" s="2149"/>
      <c r="Z120" s="2149"/>
      <c r="AA120" s="2149"/>
      <c r="AB120" s="2149"/>
      <c r="AC120" s="2149"/>
    </row>
    <row r="121" spans="1:29" ht="15.75" thickBot="1">
      <c r="A121" s="671"/>
      <c r="B121" s="680"/>
      <c r="C121" s="694"/>
      <c r="D121" s="694"/>
      <c r="E121" s="694"/>
      <c r="F121" s="694"/>
      <c r="G121" s="673"/>
      <c r="H121" s="673"/>
      <c r="I121" s="673"/>
      <c r="J121" s="673"/>
      <c r="K121" s="673"/>
      <c r="L121" s="673"/>
      <c r="M121" s="674"/>
      <c r="N121" s="2170"/>
      <c r="O121" s="2170"/>
      <c r="P121" s="2169"/>
      <c r="Q121" s="2162"/>
      <c r="R121" s="2149"/>
      <c r="S121" s="2149"/>
      <c r="T121" s="2149"/>
      <c r="U121" s="2149"/>
      <c r="V121" s="2149"/>
      <c r="W121" s="2149"/>
      <c r="X121" s="2149"/>
      <c r="Y121" s="2149"/>
      <c r="Z121" s="2149"/>
      <c r="AA121" s="2149"/>
      <c r="AB121" s="2149"/>
      <c r="AC121" s="2149"/>
    </row>
    <row r="122" spans="1:29" s="1341" customFormat="1" ht="15" thickTop="1">
      <c r="A122" s="730"/>
      <c r="B122" s="675">
        <f>B42</f>
        <v>111</v>
      </c>
      <c r="C122" s="663"/>
      <c r="D122" s="663"/>
      <c r="E122" s="663"/>
      <c r="F122" s="663"/>
      <c r="G122" s="691"/>
      <c r="H122" s="691"/>
      <c r="I122" s="691"/>
      <c r="J122" s="691"/>
      <c r="K122" s="691"/>
      <c r="L122" s="692"/>
      <c r="M122" s="693"/>
      <c r="N122" s="2171"/>
      <c r="O122" s="2171"/>
      <c r="P122" s="2172"/>
      <c r="Q122" s="2173"/>
      <c r="R122" s="2174"/>
      <c r="S122" s="2174"/>
      <c r="T122" s="2174"/>
      <c r="U122" s="2174"/>
      <c r="V122" s="2174"/>
      <c r="W122" s="2174"/>
      <c r="X122" s="2174"/>
      <c r="Y122" s="2174"/>
      <c r="Z122" s="2174"/>
      <c r="AA122" s="2174"/>
      <c r="AB122" s="2174"/>
      <c r="AC122" s="2174"/>
    </row>
    <row r="123" spans="1:29" s="1341" customFormat="1" ht="15.75" thickBot="1">
      <c r="A123" s="700"/>
      <c r="B123" s="738"/>
      <c r="C123" s="702"/>
      <c r="D123" s="702"/>
      <c r="E123" s="702"/>
      <c r="F123" s="702"/>
      <c r="G123" s="728"/>
      <c r="H123" s="728"/>
      <c r="I123" s="728"/>
      <c r="J123" s="728"/>
      <c r="K123" s="728"/>
      <c r="L123" s="728"/>
      <c r="M123" s="729"/>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1693</v>
      </c>
      <c r="B1" s="1403"/>
      <c r="C1" s="1409" t="s">
        <v>2428</v>
      </c>
      <c r="D1" s="1524">
        <f>SUM(D29:D30,D33:D39)</f>
        <v>0</v>
      </c>
      <c r="E1" s="1409" t="s">
        <v>2429</v>
      </c>
      <c r="F1" s="2480"/>
      <c r="G1" s="1404"/>
      <c r="H1" s="1404"/>
      <c r="I1" s="1404"/>
      <c r="J1" s="1404"/>
      <c r="K1" s="1404"/>
      <c r="L1" s="1886" t="s">
        <v>2239</v>
      </c>
      <c r="M1" s="1887">
        <f>SUMPRODUCT((区片价!B5:B9=I2)*(区片价!C3:F3=E2)*(区片价!C5:F9))</f>
        <v>0</v>
      </c>
      <c r="N1" s="1888">
        <f>SUMPRODUCT((因素修正幅度!B5:B9=I2)*(因素修正幅度!C3:F3=E2)*(因素修正幅度!C5:F9))</f>
        <v>0</v>
      </c>
      <c r="O1" s="2193"/>
      <c r="P1" s="2193"/>
      <c r="Q1" s="2193"/>
      <c r="R1" s="2966" t="s">
        <v>2768</v>
      </c>
      <c r="S1" s="2966" t="s">
        <v>2769</v>
      </c>
      <c r="T1" s="2966" t="s">
        <v>2790</v>
      </c>
      <c r="U1" s="2966" t="s">
        <v>2791</v>
      </c>
      <c r="V1" s="2966" t="s">
        <v>2792</v>
      </c>
      <c r="W1" s="2193"/>
      <c r="X1" s="2193"/>
      <c r="Y1" s="2193"/>
      <c r="Z1" s="2193"/>
      <c r="AA1" s="2193"/>
      <c r="AB1" s="2193"/>
      <c r="AC1" s="2194"/>
    </row>
    <row r="2" spans="1:39" ht="15.75">
      <c r="A2" s="1409" t="s">
        <v>921</v>
      </c>
      <c r="B2" s="1040" t="e">
        <f>C26</f>
        <v>#DIV/0!</v>
      </c>
      <c r="C2" s="1410" t="s">
        <v>922</v>
      </c>
      <c r="D2" s="1411" t="s">
        <v>923</v>
      </c>
      <c r="E2" s="1412"/>
      <c r="F2" s="1411" t="s">
        <v>925</v>
      </c>
      <c r="G2" s="1655">
        <f>IF(E2="商业",项目基本情况!B43,IF(E2="办公",项目基本情况!C43,IF(E2="住宅",项目基本情况!D43,项目基本情况!E43)))</f>
        <v>0</v>
      </c>
      <c r="H2" s="1411" t="s">
        <v>927</v>
      </c>
      <c r="I2" s="1656">
        <f>IF(E2="商业",项目基本情况!B44,IF(E2="办公",项目基本情况!C44,IF(E2="住宅",项目基本情况!D44,项目基本情况!E44)))</f>
        <v>0</v>
      </c>
      <c r="J2" s="1413"/>
      <c r="K2" s="1404"/>
      <c r="L2" s="1889" t="s">
        <v>2240</v>
      </c>
      <c r="M2" s="1890">
        <f>SUMPRODUCT((区片价!B10:B28=I2)*(区片价!C3:F3=E2)*(区片价!C10:F28))</f>
        <v>0</v>
      </c>
      <c r="N2" s="1891">
        <f>SUMPRODUCT((因素修正幅度!B10:B28=I2)*(因素修正幅度!C3:F3=E2)*(因素修正幅度!C10:F28))</f>
        <v>0</v>
      </c>
      <c r="O2" s="2193"/>
      <c r="P2" s="2193"/>
      <c r="Q2" s="2193"/>
      <c r="R2" s="2967">
        <v>1</v>
      </c>
      <c r="S2" s="2967">
        <f>ROUND(IF(G3&gt;1,IF(R2&lt;7,SUMPRODUCT((B93:B98=R2)*(C92:N92=G2)*(C93:N98)),SUMIF(C92:N92,G2,C100:N100)),IF(R2&lt;7,SUMPRODUCT((B102:B107=R2)*(C92:N92=G2)*(C102:N107)),SUMIF(C92:N92,G2,C109:N109))),4)</f>
        <v>0</v>
      </c>
      <c r="T2" s="2967" t="e">
        <f>ROUND($C$5*$C$18*$C$19*$C$20*S2*$C$24,0)</f>
        <v>#DIV/0!</v>
      </c>
      <c r="U2" s="2956"/>
      <c r="V2" s="2967" t="e">
        <f>ROUND(T2*U2/10000,0)</f>
        <v>#DIV/0!</v>
      </c>
      <c r="W2" s="2193"/>
      <c r="X2" s="2193"/>
      <c r="Y2" s="2193"/>
      <c r="Z2" s="2193"/>
      <c r="AA2" s="2193"/>
      <c r="AB2" s="2193"/>
      <c r="AC2" s="2194"/>
    </row>
    <row r="3" spans="1:39" ht="15.75">
      <c r="A3" s="1414" t="s">
        <v>1686</v>
      </c>
      <c r="B3" s="1040" t="e">
        <f>ROUND(B2*10000/D1,0)</f>
        <v>#DIV/0!</v>
      </c>
      <c r="C3" s="1410" t="s">
        <v>928</v>
      </c>
      <c r="D3" s="1411" t="s">
        <v>929</v>
      </c>
      <c r="E3" s="1415"/>
      <c r="F3" s="1416" t="s">
        <v>2943</v>
      </c>
      <c r="G3" s="1041">
        <f>IF(F3="宗地容积率",'数据-汇总表'!I4,IF(F3="估价对象容积率",'数据-汇总表'!I6,'数据-汇总表'!I7))</f>
        <v>6.2</v>
      </c>
      <c r="H3" s="1417" t="s">
        <v>930</v>
      </c>
      <c r="I3" s="1042">
        <v>8</v>
      </c>
      <c r="J3" s="1413" t="s">
        <v>931</v>
      </c>
      <c r="K3" s="1404"/>
      <c r="L3" s="1889" t="s">
        <v>2241</v>
      </c>
      <c r="M3" s="1890">
        <f>SUMPRODUCT((区片价!B29:B48=I2)*(区片价!C3:F3=E2)*(区片价!C29:F48))</f>
        <v>0</v>
      </c>
      <c r="N3" s="1891">
        <f>SUMPRODUCT((因素修正幅度!B29:B48=I2)*(因素修正幅度!C3:F3=E2)*(因素修正幅度!C29:F48))</f>
        <v>0</v>
      </c>
      <c r="O3" s="2193"/>
      <c r="P3" s="2193"/>
      <c r="Q3" s="2193"/>
      <c r="R3" s="2967">
        <v>2</v>
      </c>
      <c r="S3" s="2967">
        <f>ROUND(IF(G3&gt;1,IF(R3&lt;7,SUMPRODUCT((B93:B98=R3)*(C92:N92=G2)*(C93:N98)),SUMIF(C92:N92,G2,C100:N100)),IF(R3&lt;7,SUMPRODUCT((B102:B107=R3)*(C92:N92=G2)*(C102:N107)),SUMIF(C92:N92,G2,C109:N109))),4)</f>
        <v>0</v>
      </c>
      <c r="T3" s="2967" t="e">
        <f t="shared" ref="T3:T16" si="0">ROUND($C$5*$C$18*$C$19*$C$20*S3*$C$24,0)</f>
        <v>#DIV/0!</v>
      </c>
      <c r="U3" s="2956"/>
      <c r="V3" s="2967"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4"/>
      <c r="L4" s="1889" t="s">
        <v>2242</v>
      </c>
      <c r="M4" s="1890">
        <f>SUMPRODUCT((区片价!B49:B75=I2)*(区片价!C3:F3=E2)*(区片价!C49:F75))</f>
        <v>0</v>
      </c>
      <c r="N4" s="1891">
        <f>SUMPRODUCT((因素修正幅度!B49:B75=I2)*(因素修正幅度!C3:F3=E2)*(因素修正幅度!C49:F75))</f>
        <v>0</v>
      </c>
      <c r="O4" s="2193"/>
      <c r="P4" s="2193"/>
      <c r="Q4" s="2193"/>
      <c r="R4" s="2967">
        <v>3</v>
      </c>
      <c r="S4" s="2967">
        <f>ROUND(IF(G3&gt;1,IF(R4&lt;7,SUMPRODUCT((B93:B98=R4)*(C92:N92=G2)*(C93:N98)),SUMIF(C92:N92,G2,C100:N100)),IF(R4&lt;7,SUMPRODUCT((B102:B107=R4)*(C92:N92=G2)*(C102:N107)),SUMIF(C92:N92,G2,C109:N109))),4)</f>
        <v>0</v>
      </c>
      <c r="T4" s="2967" t="e">
        <f t="shared" si="0"/>
        <v>#DIV/0!</v>
      </c>
      <c r="U4" s="2956"/>
      <c r="V4" s="2967" t="e">
        <f t="shared" si="1"/>
        <v>#DIV/0!</v>
      </c>
      <c r="W4" s="2193"/>
      <c r="X4" s="2193"/>
      <c r="Y4" s="2193"/>
      <c r="Z4" s="2193"/>
      <c r="AA4" s="2193"/>
      <c r="AB4" s="2193"/>
      <c r="AC4" s="2194"/>
    </row>
    <row r="5" spans="1:39" s="1424" customFormat="1" ht="15.75" thickBot="1">
      <c r="A5" s="1641" t="s">
        <v>1822</v>
      </c>
      <c r="B5" s="1418" t="s">
        <v>932</v>
      </c>
      <c r="C5" s="1043" t="e">
        <f>ROUND(IF(E2="商业",IF(F16="增加",C6*C7+C16,C6*C7-C16),IF(E2="住宅",IF(F16="增加",C6*C12+C16,C6*C12-C16),IF(F16="增加",C6+C16,C6-C16))),0)</f>
        <v>#DIV/0!</v>
      </c>
      <c r="D5" s="3154">
        <f>ROUND(IF(E2="商业",IF(F16="增加",C6+C16,C6-C16)),0)</f>
        <v>0</v>
      </c>
      <c r="E5" s="1419"/>
      <c r="F5" s="1419"/>
      <c r="G5" s="1420"/>
      <c r="H5" s="1420"/>
      <c r="I5" s="1420"/>
      <c r="J5" s="1421"/>
      <c r="K5" s="1597"/>
      <c r="L5" s="1889" t="s">
        <v>2243</v>
      </c>
      <c r="M5" s="1890">
        <f>SUMPRODUCT((区片价!B76:B109=I2)*(区片价!C3:F3=E2)*(区片价!C76:F109))</f>
        <v>0</v>
      </c>
      <c r="N5" s="1891">
        <f>SUMPRODUCT((因素修正幅度!B76:B109=I2)*(因素修正幅度!C3:F3=E2)*(因素修正幅度!C76:F109))</f>
        <v>0</v>
      </c>
      <c r="O5" s="2193"/>
      <c r="P5" s="2193"/>
      <c r="Q5" s="2193"/>
      <c r="R5" s="2967">
        <v>4</v>
      </c>
      <c r="S5" s="2967">
        <f>ROUND(IF(G3&gt;1,IF(R5&lt;7,SUMPRODUCT((B93:B98=R5)*(C92:N92=G2)*(C93:N98)),SUMIF(C92:N92,G2,C100:N100)),IF(R5&lt;7,SUMPRODUCT((B102:B107=R5)*(C92:N92=G2)*(C102:N107)),SUMIF(C92:N92,G2,C109:N109))),4)</f>
        <v>0</v>
      </c>
      <c r="T5" s="2967" t="e">
        <f t="shared" si="0"/>
        <v>#DIV/0!</v>
      </c>
      <c r="U5" s="2956"/>
      <c r="V5" s="2967" t="e">
        <f t="shared" si="1"/>
        <v>#DIV/0!</v>
      </c>
      <c r="W5" s="2193"/>
      <c r="X5" s="2193"/>
      <c r="Y5" s="2193"/>
      <c r="Z5" s="2193"/>
      <c r="AA5" s="2193"/>
      <c r="AB5" s="2193"/>
      <c r="AC5" s="2195"/>
      <c r="AD5" s="1422"/>
      <c r="AE5" s="1422"/>
      <c r="AF5" s="1422"/>
      <c r="AG5" s="1422"/>
      <c r="AH5" s="1422"/>
      <c r="AI5" s="1422"/>
      <c r="AJ5" s="1423"/>
      <c r="AK5" s="1423"/>
      <c r="AL5" s="1423"/>
      <c r="AM5" s="1423"/>
    </row>
    <row r="6" spans="1:39" ht="15.75" thickBot="1">
      <c r="A6" s="1642" t="s">
        <v>1869</v>
      </c>
      <c r="B6" s="1425" t="s">
        <v>932</v>
      </c>
      <c r="C6" s="1044">
        <f>SUMIF(L1:L12,基准地价!G2,M1:M12)</f>
        <v>0</v>
      </c>
      <c r="D6" s="1426" t="s">
        <v>1694</v>
      </c>
      <c r="E6" s="1427"/>
      <c r="F6" s="1427"/>
      <c r="G6" s="1428"/>
      <c r="H6" s="1428"/>
      <c r="I6" s="1428"/>
      <c r="J6" s="1429"/>
      <c r="K6" s="1598"/>
      <c r="L6" s="1889" t="s">
        <v>2244</v>
      </c>
      <c r="M6" s="1890">
        <f>SUMPRODUCT((区片价!B110:B157=I2)*(区片价!C3:F3=E2)*(区片价!C110:F157))</f>
        <v>0</v>
      </c>
      <c r="N6" s="1891">
        <f>SUMPRODUCT((因素修正幅度!B110:B157=I2)*(因素修正幅度!C3:F3=E2)*(因素修正幅度!C110:F157))</f>
        <v>0</v>
      </c>
      <c r="O6" s="2193"/>
      <c r="P6" s="2193"/>
      <c r="Q6" s="2193"/>
      <c r="R6" s="2967">
        <v>5</v>
      </c>
      <c r="S6" s="2967">
        <f>ROUND(IF(G3&gt;1,IF(R6&lt;7,SUMPRODUCT((B93:B98=R6)*(C92:N92=G2)*(C93:N98)),SUMIF(C92:N92,G2,C100:N100)),IF(R6&lt;7,SUMPRODUCT((B102:B107=R6)*(C92:N92=G2)*(C102:N107)),SUMIF(C92:N92,G2,C109:N109))),4)</f>
        <v>0</v>
      </c>
      <c r="T6" s="2967" t="e">
        <f t="shared" si="0"/>
        <v>#DIV/0!</v>
      </c>
      <c r="U6" s="2956"/>
      <c r="V6" s="2967" t="e">
        <f t="shared" si="1"/>
        <v>#DIV/0!</v>
      </c>
      <c r="W6" s="2193"/>
      <c r="X6" s="2193"/>
      <c r="Y6" s="2193"/>
      <c r="Z6" s="2193"/>
      <c r="AA6" s="2193"/>
      <c r="AB6" s="2193"/>
      <c r="AC6" s="2195"/>
      <c r="AD6" s="1422"/>
      <c r="AE6" s="1422"/>
      <c r="AF6" s="1422"/>
      <c r="AG6" s="1422"/>
      <c r="AH6" s="1422"/>
      <c r="AI6" s="1422"/>
      <c r="AJ6" s="1423"/>
    </row>
    <row r="7" spans="1:39" ht="24">
      <c r="A7" s="3418" t="str">
        <f>IF(E2="商业",IF(C8="不临58条商业街","",2),"")</f>
        <v/>
      </c>
      <c r="B7" s="1430" t="s">
        <v>933</v>
      </c>
      <c r="C7" s="1045" t="e">
        <f>IF(C8="不临58条商业街",1,ROUND(1+(1.6*E8+1.2*E9+0.8*E10+0.4*E11)*C9,4))</f>
        <v>#DIV/0!</v>
      </c>
      <c r="D7" s="1431" t="s">
        <v>934</v>
      </c>
      <c r="E7" s="1046"/>
      <c r="F7" s="1432"/>
      <c r="G7" s="1433"/>
      <c r="H7" s="1433"/>
      <c r="I7" s="1433"/>
      <c r="J7" s="1434"/>
      <c r="K7" s="1598"/>
      <c r="L7" s="1889" t="s">
        <v>2245</v>
      </c>
      <c r="M7" s="1890">
        <f>SUMPRODUCT((区片价!B158:B205=I2)*(区片价!C3:F3=E2)*(区片价!C158:F205))</f>
        <v>0</v>
      </c>
      <c r="N7" s="1891">
        <f>SUMPRODUCT((因素修正幅度!B158:B205=I2)*(因素修正幅度!C3:F3=E2)*(因素修正幅度!C158:F205))</f>
        <v>0</v>
      </c>
      <c r="O7" s="2193"/>
      <c r="P7" s="2193"/>
      <c r="Q7" s="2193"/>
      <c r="R7" s="2967">
        <v>6</v>
      </c>
      <c r="S7" s="2967">
        <f>ROUND(IF(G3&gt;1,IF(R7&lt;7,SUMPRODUCT((B93:B98=R7)*(C92:N92=G2)*(C93:N98)),SUMIF(C92:N92,G2,C100:N100)),IF(R7&lt;7,SUMPRODUCT((B102:B107=R7)*(C92:N92=G2)*(C102:N107)),SUMIF(C92:N92,G2,C109:N109))),4)</f>
        <v>0</v>
      </c>
      <c r="T7" s="2967" t="e">
        <f t="shared" si="0"/>
        <v>#DIV/0!</v>
      </c>
      <c r="U7" s="2956"/>
      <c r="V7" s="2967" t="e">
        <f t="shared" si="1"/>
        <v>#DIV/0!</v>
      </c>
      <c r="W7" s="2965" t="s">
        <v>2771</v>
      </c>
      <c r="X7" s="2957">
        <f>G2</f>
        <v>0</v>
      </c>
      <c r="Y7" s="2957" t="s">
        <v>2772</v>
      </c>
      <c r="Z7" s="2958">
        <f>G3</f>
        <v>6.2</v>
      </c>
      <c r="AA7" s="2196"/>
      <c r="AB7" s="2196"/>
      <c r="AC7" s="2197"/>
      <c r="AD7" s="2959"/>
      <c r="AE7" s="2959"/>
      <c r="AF7" s="2959"/>
      <c r="AG7" s="2959"/>
      <c r="AH7" s="2959"/>
      <c r="AI7" s="2959"/>
      <c r="AJ7" s="2960"/>
    </row>
    <row r="8" spans="1:39" ht="15">
      <c r="A8" s="3419"/>
      <c r="B8" s="1417" t="s">
        <v>935</v>
      </c>
      <c r="C8" s="1532"/>
      <c r="D8" s="1047" t="s">
        <v>936</v>
      </c>
      <c r="E8" s="1048" t="e">
        <f>ROUND(C11/E7,4)</f>
        <v>#DIV/0!</v>
      </c>
      <c r="F8" s="1435" t="s">
        <v>937</v>
      </c>
      <c r="G8" s="1436"/>
      <c r="H8" s="1436"/>
      <c r="I8" s="1436"/>
      <c r="J8" s="1437"/>
      <c r="K8" s="1404"/>
      <c r="L8" s="1889" t="s">
        <v>2246</v>
      </c>
      <c r="M8" s="1890">
        <f>SUMPRODUCT((区片价!B206:B244=I2)*(区片价!C3:F3=E2)*(区片价!C206:F244))</f>
        <v>0</v>
      </c>
      <c r="N8" s="1891">
        <f>SUMPRODUCT((因素修正幅度!B206:B244=I2)*(因素修正幅度!C3:F3=E2)*(因素修正幅度!C206:F244))</f>
        <v>0</v>
      </c>
      <c r="O8" s="2193"/>
      <c r="P8" s="2193"/>
      <c r="Q8" s="2193"/>
      <c r="R8" s="2967">
        <v>7</v>
      </c>
      <c r="S8" s="2956"/>
      <c r="T8" s="2967" t="e">
        <f t="shared" si="0"/>
        <v>#DIV/0!</v>
      </c>
      <c r="U8" s="2956"/>
      <c r="V8" s="2967" t="e">
        <f t="shared" si="1"/>
        <v>#DIV/0!</v>
      </c>
      <c r="W8" s="3410" t="s">
        <v>2789</v>
      </c>
      <c r="X8" s="3411"/>
      <c r="Y8" s="1853" t="s">
        <v>2773</v>
      </c>
      <c r="Z8" s="1853" t="s">
        <v>2774</v>
      </c>
      <c r="AA8" s="1853" t="s">
        <v>2775</v>
      </c>
      <c r="AB8" s="1853" t="s">
        <v>2776</v>
      </c>
      <c r="AC8" s="1853" t="s">
        <v>2777</v>
      </c>
      <c r="AD8" s="1853" t="s">
        <v>2778</v>
      </c>
      <c r="AE8" s="1853" t="s">
        <v>2779</v>
      </c>
      <c r="AF8" s="1853" t="s">
        <v>2780</v>
      </c>
      <c r="AG8" s="1853" t="s">
        <v>2781</v>
      </c>
      <c r="AH8" s="1853" t="s">
        <v>2782</v>
      </c>
      <c r="AI8" s="1853" t="s">
        <v>2783</v>
      </c>
      <c r="AJ8" s="1853" t="s">
        <v>2784</v>
      </c>
    </row>
    <row r="9" spans="1:39" ht="15">
      <c r="A9" s="3419"/>
      <c r="B9" s="1417" t="s">
        <v>938</v>
      </c>
      <c r="C9" s="1049">
        <f>SUMIF(修正!C59:C119,C8,修正!E59:E119)</f>
        <v>0</v>
      </c>
      <c r="D9" s="1050" t="s">
        <v>939</v>
      </c>
      <c r="E9" s="1050" t="e">
        <f>ROUND(C11/E7,4)</f>
        <v>#DIV/0!</v>
      </c>
      <c r="F9" s="1435" t="s">
        <v>940</v>
      </c>
      <c r="G9" s="1436"/>
      <c r="H9" s="1436"/>
      <c r="I9" s="1436"/>
      <c r="J9" s="1437"/>
      <c r="K9" s="1404"/>
      <c r="L9" s="1889" t="s">
        <v>2247</v>
      </c>
      <c r="M9" s="1890">
        <f>SUMPRODUCT((区片价!B245:B289=I2)*(区片价!C3:F3=E2)*(区片价!C245:F289))</f>
        <v>0</v>
      </c>
      <c r="N9" s="1891">
        <f>SUMPRODUCT((因素修正幅度!B245:B289=I2)*(因素修正幅度!C3:F3=E2)*(因素修正幅度!C245:F289))</f>
        <v>0</v>
      </c>
      <c r="O9" s="2193"/>
      <c r="P9" s="2193"/>
      <c r="Q9" s="2193"/>
      <c r="R9" s="2967">
        <v>8</v>
      </c>
      <c r="S9" s="2956"/>
      <c r="T9" s="2967" t="e">
        <f t="shared" si="0"/>
        <v>#DIV/0!</v>
      </c>
      <c r="U9" s="2956"/>
      <c r="V9" s="2967" t="e">
        <f t="shared" si="1"/>
        <v>#DIV/0!</v>
      </c>
      <c r="W9" s="3409" t="s">
        <v>2785</v>
      </c>
      <c r="X9" s="2961" t="s">
        <v>2786</v>
      </c>
      <c r="Y9" s="3128"/>
      <c r="Z9" s="2962">
        <f>$Y$9</f>
        <v>0</v>
      </c>
      <c r="AA9" s="2962">
        <f t="shared" ref="AA9:AJ9" si="2">$Y$9</f>
        <v>0</v>
      </c>
      <c r="AB9" s="2962">
        <f t="shared" si="2"/>
        <v>0</v>
      </c>
      <c r="AC9" s="2962">
        <f t="shared" si="2"/>
        <v>0</v>
      </c>
      <c r="AD9" s="2962">
        <f t="shared" si="2"/>
        <v>0</v>
      </c>
      <c r="AE9" s="2962">
        <f t="shared" si="2"/>
        <v>0</v>
      </c>
      <c r="AF9" s="2962">
        <f t="shared" si="2"/>
        <v>0</v>
      </c>
      <c r="AG9" s="2962">
        <f t="shared" si="2"/>
        <v>0</v>
      </c>
      <c r="AH9" s="2962">
        <f t="shared" si="2"/>
        <v>0</v>
      </c>
      <c r="AI9" s="2962">
        <f t="shared" si="2"/>
        <v>0</v>
      </c>
      <c r="AJ9" s="2962">
        <f t="shared" si="2"/>
        <v>0</v>
      </c>
    </row>
    <row r="10" spans="1:39" ht="15">
      <c r="A10" s="3419"/>
      <c r="B10" s="1417" t="s">
        <v>941</v>
      </c>
      <c r="C10" s="1050">
        <f>SUMIF(修正!C59:C119,C8,修正!F59:F119)</f>
        <v>0</v>
      </c>
      <c r="D10" s="1050" t="s">
        <v>942</v>
      </c>
      <c r="E10" s="1050" t="e">
        <f>ROUND(C11/E7,4)</f>
        <v>#DIV/0!</v>
      </c>
      <c r="F10" s="1435" t="s">
        <v>943</v>
      </c>
      <c r="G10" s="1436"/>
      <c r="H10" s="1436"/>
      <c r="I10" s="1436"/>
      <c r="J10" s="1437"/>
      <c r="K10" s="1404"/>
      <c r="L10" s="1889" t="s">
        <v>2248</v>
      </c>
      <c r="M10" s="1890">
        <f>SUMPRODUCT((区片价!B290:B316=I2)*(区片价!C3:F3=E2)*(区片价!C290:F316))</f>
        <v>0</v>
      </c>
      <c r="N10" s="1891">
        <f>SUMPRODUCT((因素修正幅度!B290:B316=I2)*(因素修正幅度!C3:F3=E2)*(因素修正幅度!C290:F316))</f>
        <v>0</v>
      </c>
      <c r="O10" s="2193"/>
      <c r="P10" s="2193"/>
      <c r="Q10" s="2193"/>
      <c r="R10" s="2967">
        <v>9</v>
      </c>
      <c r="S10" s="2956"/>
      <c r="T10" s="2967" t="e">
        <f t="shared" si="0"/>
        <v>#DIV/0!</v>
      </c>
      <c r="U10" s="2956"/>
      <c r="V10" s="2967" t="e">
        <f t="shared" si="1"/>
        <v>#DIV/0!</v>
      </c>
      <c r="W10" s="3409"/>
      <c r="X10" s="2961">
        <v>7</v>
      </c>
      <c r="Y10" s="2963">
        <f>(-0.163*(Y9^2)-0.59*Y9+7617)*(10^(-4))</f>
        <v>0.76170000000000004</v>
      </c>
      <c r="Z10" s="2963">
        <f>(-0.163*(Z9^2)-0.59*Z9+7617)*(10^(-4))</f>
        <v>0.76170000000000004</v>
      </c>
      <c r="AA10" s="2963">
        <f>(-0.161*(AA9^2)-7.509*AA9+6533)*(10^(-4))</f>
        <v>0.65329999999999999</v>
      </c>
      <c r="AB10" s="2963">
        <f>(-0.161*(AB9^2)-7.509*AB9+6533)*(10^(-4))</f>
        <v>0.65329999999999999</v>
      </c>
      <c r="AC10" s="2963">
        <f>(-0.161*(AC9^2)-7.509*AC9+6533)*(10^(-4))</f>
        <v>0.65329999999999999</v>
      </c>
      <c r="AD10" s="2963">
        <f>(-0.161*(AD9^2)-7.509*AD9+6533)*(10^(-4))</f>
        <v>0.65329999999999999</v>
      </c>
      <c r="AE10" s="2963">
        <f>(-0.161*(AE9^2)-7.509*AE9+6533)*(10^(-4))</f>
        <v>0.65329999999999999</v>
      </c>
      <c r="AF10" s="2963">
        <f>(-0.214*(AF9^2)-21.991*AF9+4665)*(10^(-4))</f>
        <v>0.46650000000000003</v>
      </c>
      <c r="AG10" s="2963">
        <f>(-0.214*(AG9^2)-21.991*AG9+4665)*(10^(-4))</f>
        <v>0.46650000000000003</v>
      </c>
      <c r="AH10" s="2963">
        <f>(-0.214*(AH9^2)-21.991*AH9+4665)*(10^(-4))</f>
        <v>0.46650000000000003</v>
      </c>
      <c r="AI10" s="2963">
        <f>(-0.214*(AI9^2)-21.991*AI9+4665)*(10^(-4))</f>
        <v>0.46650000000000003</v>
      </c>
      <c r="AJ10" s="2963">
        <f>(-0.214*(AJ9^2)-21.991*AJ9+4665)*(10^(-4))</f>
        <v>0.46650000000000003</v>
      </c>
    </row>
    <row r="11" spans="1:39" ht="15.75" customHeight="1" thickBot="1">
      <c r="A11" s="3419"/>
      <c r="B11" s="1438" t="s">
        <v>944</v>
      </c>
      <c r="C11" s="1051">
        <f>C10/4</f>
        <v>0</v>
      </c>
      <c r="D11" s="1051" t="s">
        <v>945</v>
      </c>
      <c r="E11" s="1051" t="e">
        <f>ROUND(C11/E7,4)</f>
        <v>#DIV/0!</v>
      </c>
      <c r="F11" s="1439" t="s">
        <v>946</v>
      </c>
      <c r="G11" s="1440"/>
      <c r="H11" s="1440"/>
      <c r="I11" s="1440"/>
      <c r="J11" s="1441"/>
      <c r="K11" s="1404"/>
      <c r="L11" s="1889" t="s">
        <v>2249</v>
      </c>
      <c r="M11" s="1890">
        <f>SUMPRODUCT((区片价!B317:B337=I2)*(区片价!C3:F3=E2)*(区片价!C317:F337))</f>
        <v>0</v>
      </c>
      <c r="N11" s="1891">
        <f>SUMPRODUCT((因素修正幅度!B317:B337=I2)*(因素修正幅度!C3:F3=E2)*(因素修正幅度!C317:F337))</f>
        <v>0</v>
      </c>
      <c r="O11" s="2193"/>
      <c r="P11" s="2193"/>
      <c r="Q11" s="2193"/>
      <c r="R11" s="2967">
        <v>10</v>
      </c>
      <c r="S11" s="2956"/>
      <c r="T11" s="2967" t="e">
        <f t="shared" si="0"/>
        <v>#DIV/0!</v>
      </c>
      <c r="U11" s="2956"/>
      <c r="V11" s="2967" t="e">
        <f t="shared" si="1"/>
        <v>#DIV/0!</v>
      </c>
      <c r="W11" s="3409" t="s">
        <v>2787</v>
      </c>
      <c r="X11" s="1050" t="s">
        <v>2772</v>
      </c>
      <c r="Y11" s="1656">
        <f>$G$3</f>
        <v>6.2</v>
      </c>
      <c r="Z11" s="1656">
        <f t="shared" ref="Z11:AJ11" si="3">$G$3</f>
        <v>6.2</v>
      </c>
      <c r="AA11" s="1656">
        <f t="shared" si="3"/>
        <v>6.2</v>
      </c>
      <c r="AB11" s="1656">
        <f t="shared" si="3"/>
        <v>6.2</v>
      </c>
      <c r="AC11" s="1656">
        <f t="shared" si="3"/>
        <v>6.2</v>
      </c>
      <c r="AD11" s="1656">
        <f t="shared" si="3"/>
        <v>6.2</v>
      </c>
      <c r="AE11" s="1656">
        <f t="shared" si="3"/>
        <v>6.2</v>
      </c>
      <c r="AF11" s="1656">
        <f t="shared" si="3"/>
        <v>6.2</v>
      </c>
      <c r="AG11" s="1656">
        <f t="shared" si="3"/>
        <v>6.2</v>
      </c>
      <c r="AH11" s="1656">
        <f t="shared" si="3"/>
        <v>6.2</v>
      </c>
      <c r="AI11" s="1656">
        <f t="shared" si="3"/>
        <v>6.2</v>
      </c>
      <c r="AJ11" s="1656">
        <f t="shared" si="3"/>
        <v>6.2</v>
      </c>
    </row>
    <row r="12" spans="1:39" ht="25.5" thickBot="1">
      <c r="A12" s="3418" t="s">
        <v>1870</v>
      </c>
      <c r="B12" s="1442" t="s">
        <v>947</v>
      </c>
      <c r="C12" s="1045">
        <f>ROUND(C15*D15*E15*F15*G15*H15*I15*J15,4)</f>
        <v>1</v>
      </c>
      <c r="D12" s="1443" t="s">
        <v>948</v>
      </c>
      <c r="E12" s="1444"/>
      <c r="F12" s="1444"/>
      <c r="G12" s="1445"/>
      <c r="H12" s="1445"/>
      <c r="I12" s="1445"/>
      <c r="J12" s="1446"/>
      <c r="K12" s="1404"/>
      <c r="L12" s="1892" t="s">
        <v>2250</v>
      </c>
      <c r="M12" s="1893">
        <f>SUMPRODUCT((区片价!B338:B344=I2)*(区片价!C3:F3=E2)*(区片价!C338:F344))</f>
        <v>0</v>
      </c>
      <c r="N12" s="1894">
        <f>SUMPRODUCT((因素修正幅度!B338:B344=I2)*(因素修正幅度!C3:F3=E2)*(因素修正幅度!C338:F344))</f>
        <v>0</v>
      </c>
      <c r="O12" s="2193"/>
      <c r="P12" s="2193"/>
      <c r="Q12" s="2193"/>
      <c r="R12" s="2967">
        <v>11</v>
      </c>
      <c r="S12" s="2956"/>
      <c r="T12" s="2967" t="e">
        <f t="shared" si="0"/>
        <v>#DIV/0!</v>
      </c>
      <c r="U12" s="2956"/>
      <c r="V12" s="2967" t="e">
        <f t="shared" si="1"/>
        <v>#DIV/0!</v>
      </c>
      <c r="W12" s="3409"/>
      <c r="X12" s="2964" t="s">
        <v>2788</v>
      </c>
      <c r="Y12" s="2962">
        <f t="shared" ref="Y12:AJ12" si="4">Y9</f>
        <v>0</v>
      </c>
      <c r="Z12" s="2962">
        <f t="shared" si="4"/>
        <v>0</v>
      </c>
      <c r="AA12" s="2962">
        <f t="shared" si="4"/>
        <v>0</v>
      </c>
      <c r="AB12" s="2962">
        <f t="shared" si="4"/>
        <v>0</v>
      </c>
      <c r="AC12" s="2962">
        <f t="shared" si="4"/>
        <v>0</v>
      </c>
      <c r="AD12" s="2962">
        <f t="shared" si="4"/>
        <v>0</v>
      </c>
      <c r="AE12" s="2962">
        <f t="shared" si="4"/>
        <v>0</v>
      </c>
      <c r="AF12" s="2962">
        <f t="shared" si="4"/>
        <v>0</v>
      </c>
      <c r="AG12" s="2962">
        <f t="shared" si="4"/>
        <v>0</v>
      </c>
      <c r="AH12" s="2962">
        <f t="shared" si="4"/>
        <v>0</v>
      </c>
      <c r="AI12" s="2962">
        <f t="shared" si="4"/>
        <v>0</v>
      </c>
      <c r="AJ12" s="2962">
        <f t="shared" si="4"/>
        <v>0</v>
      </c>
    </row>
    <row r="13" spans="1:39" ht="24">
      <c r="A13" s="3420"/>
      <c r="B13" s="1447" t="s">
        <v>1695</v>
      </c>
      <c r="C13" s="1448" t="s">
        <v>1696</v>
      </c>
      <c r="D13" s="1091" t="s">
        <v>1697</v>
      </c>
      <c r="E13" s="1091" t="s">
        <v>1698</v>
      </c>
      <c r="F13" s="1449" t="s">
        <v>949</v>
      </c>
      <c r="G13" s="1450" t="s">
        <v>1644</v>
      </c>
      <c r="H13" s="1451" t="s">
        <v>1644</v>
      </c>
      <c r="I13" s="1452" t="s">
        <v>1644</v>
      </c>
      <c r="J13" s="1453" t="s">
        <v>1644</v>
      </c>
      <c r="K13" s="1404"/>
      <c r="L13" s="2193"/>
      <c r="M13" s="2193"/>
      <c r="N13" s="2193"/>
      <c r="O13" s="2193"/>
      <c r="P13" s="2193"/>
      <c r="Q13" s="2193"/>
      <c r="R13" s="2967">
        <v>12</v>
      </c>
      <c r="S13" s="2956"/>
      <c r="T13" s="2967" t="e">
        <f t="shared" si="0"/>
        <v>#DIV/0!</v>
      </c>
      <c r="U13" s="2956"/>
      <c r="V13" s="2967" t="e">
        <f t="shared" si="1"/>
        <v>#DIV/0!</v>
      </c>
      <c r="W13" s="3409"/>
      <c r="X13" s="2964"/>
      <c r="Y13" s="2963">
        <f>(-0.163*(Y12^2)-0.59*Y12+7617)*(10^(-4))/Y11</f>
        <v>0.12285483870967742</v>
      </c>
      <c r="Z13" s="2963">
        <f t="shared" ref="Z13:AJ13" si="5">(-0.163*(Z12^2)-0.59*Z12+7617)*(10^(-4))/Z11</f>
        <v>0.12285483870967742</v>
      </c>
      <c r="AA13" s="2963">
        <f t="shared" si="5"/>
        <v>0.12285483870967742</v>
      </c>
      <c r="AB13" s="2963">
        <f t="shared" si="5"/>
        <v>0.12285483870967742</v>
      </c>
      <c r="AC13" s="2963">
        <f t="shared" si="5"/>
        <v>0.12285483870967742</v>
      </c>
      <c r="AD13" s="2963">
        <f t="shared" si="5"/>
        <v>0.12285483870967742</v>
      </c>
      <c r="AE13" s="2963">
        <f t="shared" si="5"/>
        <v>0.12285483870967742</v>
      </c>
      <c r="AF13" s="2963">
        <f t="shared" si="5"/>
        <v>0.12285483870967742</v>
      </c>
      <c r="AG13" s="2963">
        <f t="shared" si="5"/>
        <v>0.12285483870967742</v>
      </c>
      <c r="AH13" s="2963">
        <f t="shared" si="5"/>
        <v>0.12285483870967742</v>
      </c>
      <c r="AI13" s="2963">
        <f t="shared" si="5"/>
        <v>0.12285483870967742</v>
      </c>
      <c r="AJ13" s="2963">
        <f t="shared" si="5"/>
        <v>0.12285483870967742</v>
      </c>
    </row>
    <row r="14" spans="1:39" ht="12.75" customHeight="1" thickBot="1">
      <c r="A14" s="3420"/>
      <c r="B14" s="1454"/>
      <c r="C14" s="1455"/>
      <c r="D14" s="1456"/>
      <c r="E14" s="1456"/>
      <c r="F14" s="1457"/>
      <c r="G14" s="1458" t="s">
        <v>950</v>
      </c>
      <c r="H14" s="1459"/>
      <c r="I14" s="1460"/>
      <c r="J14" s="1461"/>
      <c r="K14" s="1404"/>
      <c r="L14" s="2193"/>
      <c r="M14" s="2193"/>
      <c r="N14" s="2193"/>
      <c r="O14" s="2193"/>
      <c r="P14" s="2193"/>
      <c r="Q14" s="2193"/>
      <c r="R14" s="2967">
        <v>13</v>
      </c>
      <c r="S14" s="2956"/>
      <c r="T14" s="2967" t="e">
        <f t="shared" si="0"/>
        <v>#DIV/0!</v>
      </c>
      <c r="U14" s="2956"/>
      <c r="V14" s="2967" t="e">
        <f t="shared" si="1"/>
        <v>#DIV/0!</v>
      </c>
      <c r="W14" s="2193"/>
      <c r="X14" s="2193"/>
      <c r="Y14" s="2193"/>
      <c r="Z14" s="2193"/>
      <c r="AA14" s="2193"/>
      <c r="AB14" s="2193"/>
      <c r="AC14" s="2194"/>
    </row>
    <row r="15" spans="1:39" ht="13.5" customHeight="1" thickBot="1">
      <c r="A15" s="3421"/>
      <c r="B15" s="1462" t="s">
        <v>1699</v>
      </c>
      <c r="C15" s="1053">
        <f>IF(C14="有",1.1,1)</f>
        <v>1</v>
      </c>
      <c r="D15" s="1053">
        <f>IF(D14="有",1.1,1)</f>
        <v>1</v>
      </c>
      <c r="E15" s="1053">
        <f>IF(E14="有",1.1,1)</f>
        <v>1</v>
      </c>
      <c r="F15" s="1053">
        <f>IF(F14="500米范围内",1.2,IF(F14="500-1000米",1.1,1))</f>
        <v>1</v>
      </c>
      <c r="G15" s="1054">
        <v>1</v>
      </c>
      <c r="H15" s="1054">
        <v>1</v>
      </c>
      <c r="I15" s="1054">
        <v>1</v>
      </c>
      <c r="J15" s="1055">
        <v>1</v>
      </c>
      <c r="K15" s="1404"/>
      <c r="L15" s="1601" t="s">
        <v>899</v>
      </c>
      <c r="M15" s="1431" t="s">
        <v>985</v>
      </c>
      <c r="N15" s="1431" t="s">
        <v>986</v>
      </c>
      <c r="O15" s="1431" t="s">
        <v>903</v>
      </c>
      <c r="P15" s="1479" t="s">
        <v>987</v>
      </c>
      <c r="Q15" s="2193"/>
      <c r="R15" s="2967">
        <v>14</v>
      </c>
      <c r="S15" s="2956"/>
      <c r="T15" s="2967" t="e">
        <f t="shared" si="0"/>
        <v>#DIV/0!</v>
      </c>
      <c r="U15" s="2956"/>
      <c r="V15" s="2967" t="e">
        <f t="shared" si="1"/>
        <v>#DIV/0!</v>
      </c>
      <c r="W15" s="2193"/>
      <c r="X15" s="2193"/>
      <c r="Y15" s="2193"/>
      <c r="Z15" s="2193"/>
      <c r="AA15" s="2193"/>
      <c r="AB15" s="2193"/>
      <c r="AC15" s="2194"/>
    </row>
    <row r="16" spans="1:39" ht="24">
      <c r="A16" s="3418" t="s">
        <v>1837</v>
      </c>
      <c r="B16" s="1430" t="s">
        <v>951</v>
      </c>
      <c r="C16" s="1056" t="e">
        <f>ROUND(SUM(G17:J17)/C17,0)</f>
        <v>#DIV/0!</v>
      </c>
      <c r="D16" s="1463" t="s">
        <v>952</v>
      </c>
      <c r="E16" s="1464"/>
      <c r="F16" s="1465"/>
      <c r="G16" s="1466"/>
      <c r="H16" s="1466"/>
      <c r="I16" s="1466"/>
      <c r="J16" s="1466"/>
      <c r="K16" s="1404"/>
      <c r="L16" s="1467" t="s">
        <v>989</v>
      </c>
      <c r="M16" s="1049">
        <v>0.25</v>
      </c>
      <c r="N16" s="1049">
        <v>0.2</v>
      </c>
      <c r="O16" s="1049">
        <v>0.15</v>
      </c>
      <c r="P16" s="1542">
        <v>0.1</v>
      </c>
      <c r="Q16" s="2196"/>
      <c r="R16" s="2967">
        <v>15</v>
      </c>
      <c r="S16" s="2956"/>
      <c r="T16" s="2967" t="e">
        <f t="shared" si="0"/>
        <v>#DIV/0!</v>
      </c>
      <c r="U16" s="2956"/>
      <c r="V16" s="2967" t="e">
        <f t="shared" si="1"/>
        <v>#DIV/0!</v>
      </c>
      <c r="W16" s="2196"/>
      <c r="X16" s="2196"/>
      <c r="Y16" s="2196"/>
      <c r="Z16" s="2196"/>
      <c r="AA16" s="2196"/>
      <c r="AB16" s="2196"/>
      <c r="AC16" s="2197"/>
    </row>
    <row r="17" spans="1:40" ht="13.5" thickBot="1">
      <c r="A17" s="3419"/>
      <c r="B17" s="1468" t="s">
        <v>954</v>
      </c>
      <c r="C17" s="1057">
        <f>SUMPRODUCT((修正!A2:A5=E2)*(修正!B1:M1=G2)*(修正!B2:M5))</f>
        <v>0</v>
      </c>
      <c r="D17" s="1470" t="s">
        <v>955</v>
      </c>
      <c r="E17" s="1471" t="str">
        <f>IF(OR(G2="八级",G2="九级",G2="十级",G2="十一级",G2="十二级"),"五通一平","七通一平")</f>
        <v>七通一平</v>
      </c>
      <c r="F17" s="1469"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4"/>
      <c r="L17" s="1472" t="s">
        <v>975</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1828</v>
      </c>
      <c r="B18" s="2802" t="s">
        <v>957</v>
      </c>
      <c r="C18" s="2803">
        <f>SUMIF(修正!C18:C39,E3,修正!E18:E39)</f>
        <v>0</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1834</v>
      </c>
      <c r="B19" s="1473" t="s">
        <v>958</v>
      </c>
      <c r="C19" s="1059" t="e">
        <f>ROUND(IF(H19="按公示增长率计算",SUMPRODUCT((地价!A3:A20=YEAR(G19)&amp;"-"&amp;ROUNDUP(MONTH(G19)/3,0))*(地价!X2:AB2=E2)*(地价!X3:AB20)),IF(H19="地价指数",M20/M19,(1+I19)^O19)),4)</f>
        <v>#DIV/0!</v>
      </c>
      <c r="D19" s="1477" t="s">
        <v>959</v>
      </c>
      <c r="E19" s="1060">
        <v>41640</v>
      </c>
      <c r="F19" s="1477" t="s">
        <v>960</v>
      </c>
      <c r="G19" s="1061">
        <f>'数据-取费表'!B2</f>
        <v>43032</v>
      </c>
      <c r="H19" s="1478" t="s">
        <v>2944</v>
      </c>
      <c r="I19" s="2814" t="str">
        <f>IF(H19="季度增幅（自定义）",SUMIF(N21:N24,E2,O21:O24),"")</f>
        <v/>
      </c>
      <c r="J19" s="1474"/>
      <c r="K19" s="1484"/>
      <c r="L19" s="3069" t="s">
        <v>2847</v>
      </c>
      <c r="M19" s="3070">
        <f>ROUND(SUMIF(地价!B2:F2,E2,地价!B20:F20),0)</f>
        <v>0</v>
      </c>
      <c r="N19" s="2816" t="s">
        <v>1678</v>
      </c>
      <c r="O19" s="2815">
        <f>ROUNDDOWN(DATEDIF(E19,G19,"M")/3,0)</f>
        <v>15</v>
      </c>
      <c r="P19" s="1599"/>
      <c r="R19" s="2955"/>
      <c r="S19" s="2955"/>
      <c r="T19" s="2955"/>
      <c r="U19" s="2955"/>
      <c r="V19" s="2955"/>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1835</v>
      </c>
      <c r="B20" s="2809" t="s">
        <v>973</v>
      </c>
      <c r="C20" s="2810" t="e">
        <f>ROUND(POWER(1+G20,J20-I20)*(POWER(1+G20,I20)-1)/(POWER(1+G20,J20)-1),4)</f>
        <v>#DIV/0!</v>
      </c>
      <c r="D20" s="2811" t="s">
        <v>974</v>
      </c>
      <c r="E20" s="3125">
        <f ca="1">存贷款利率!I4/100</f>
        <v>4.3499999999999997E-2</v>
      </c>
      <c r="F20" s="2811" t="s">
        <v>975</v>
      </c>
      <c r="G20" s="2812">
        <f>SUMIF(M15:P15,E2,M17:P17)</f>
        <v>0</v>
      </c>
      <c r="H20" s="2811" t="s">
        <v>976</v>
      </c>
      <c r="I20" s="2801" t="e">
        <f>SUMIF('数据-取费表'!C6:C15,E2,'数据-取费表'!F6:F15)/COUNTIF('数据-取费表'!C6:C15,E2)</f>
        <v>#DIV/0!</v>
      </c>
      <c r="J20" s="2813">
        <f>IF(E2="住宅",70,IF(E2="商业",40,50))</f>
        <v>50</v>
      </c>
      <c r="K20" s="1484"/>
      <c r="L20" s="3071" t="s">
        <v>2848</v>
      </c>
      <c r="M20" s="3072">
        <f>ROUND(SUMPRODUCT((地价!A5:A20=YEAR(G19)&amp;"-"&amp;ROUNDUP(MONTH(G19)/3,0))*(地价!B2:F2=E2)*(地价!B5:F20)),0)</f>
        <v>0</v>
      </c>
      <c r="N20" s="2819" t="s">
        <v>2651</v>
      </c>
      <c r="O20" s="2817" t="s">
        <v>2650</v>
      </c>
      <c r="P20" s="2818" t="s">
        <v>2656</v>
      </c>
      <c r="R20" s="2955"/>
      <c r="S20" s="2955"/>
      <c r="T20" s="2955"/>
      <c r="U20" s="2955"/>
      <c r="V20" s="2955"/>
      <c r="W20" s="2199"/>
      <c r="X20" s="2199"/>
      <c r="Y20" s="2199"/>
      <c r="Z20" s="2199"/>
      <c r="AA20" s="2199"/>
      <c r="AB20" s="2199"/>
      <c r="AC20" s="2199"/>
      <c r="AD20" s="1475"/>
      <c r="AE20" s="1475"/>
      <c r="AF20" s="1475"/>
      <c r="AG20" s="1475"/>
      <c r="AH20" s="1475"/>
      <c r="AI20" s="1475"/>
    </row>
    <row r="21" spans="1:40" s="1424" customFormat="1" ht="14.25">
      <c r="A21" s="1645" t="s">
        <v>1836</v>
      </c>
      <c r="B21" s="1483" t="s">
        <v>2767</v>
      </c>
      <c r="C21" s="1160">
        <f>IF(B21="容积率修正",IF(G3&lt;=10,D22,J22),C23)</f>
        <v>0</v>
      </c>
      <c r="D21" s="1484"/>
      <c r="E21" s="1484"/>
      <c r="F21" s="1484"/>
      <c r="G21" s="1484"/>
      <c r="H21" s="1484"/>
      <c r="I21" s="1484"/>
      <c r="J21" s="1485"/>
      <c r="K21" s="1484"/>
      <c r="L21" s="1484"/>
      <c r="M21" s="1484"/>
      <c r="N21" s="1481" t="s">
        <v>977</v>
      </c>
      <c r="O21" s="1545"/>
      <c r="P21" s="2799">
        <f>SUMPRODUCT((地价!A3:A20=YEAR(G19)&amp;"-"&amp;ROUNDUP(MONTH(G19)/3,0))*(地价!AD2:AH2=N21)*(地价!AD3:AH20))</f>
        <v>1.6400000000000001E-2</v>
      </c>
      <c r="R21" s="2955"/>
      <c r="S21" s="2955"/>
      <c r="T21" s="2955"/>
      <c r="U21" s="2955"/>
      <c r="V21" s="2955"/>
      <c r="W21" s="2199"/>
      <c r="X21" s="2199"/>
      <c r="Y21" s="2199"/>
      <c r="Z21" s="2199"/>
      <c r="AA21" s="2199"/>
      <c r="AB21" s="2199"/>
      <c r="AC21" s="2199"/>
      <c r="AD21" s="1406"/>
      <c r="AE21" s="1406"/>
      <c r="AF21" s="1406"/>
      <c r="AG21" s="1406"/>
      <c r="AH21" s="1475"/>
      <c r="AI21" s="1475"/>
    </row>
    <row r="22" spans="1:40" s="1424" customFormat="1" ht="14.25">
      <c r="A22" s="1646" t="s">
        <v>1869</v>
      </c>
      <c r="B22" s="1486" t="s">
        <v>978</v>
      </c>
      <c r="C22" s="1062" t="s">
        <v>1701</v>
      </c>
      <c r="D22" s="1062" t="b">
        <f>IF(E22=G22,F22,IF(G3&lt;=10,ROUND(F22+(H22-F22)*(G3-E22)/(G22-E22),4),"——"))</f>
        <v>0</v>
      </c>
      <c r="E22" s="1041">
        <f>ROUNDDOWN(G3,1)</f>
        <v>6.2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6.2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4"/>
      <c r="L22" s="1484"/>
      <c r="M22" s="1484"/>
      <c r="N22" s="1481" t="s">
        <v>980</v>
      </c>
      <c r="O22" s="1545"/>
      <c r="P22" s="2799">
        <f>SUMPRODUCT((地价!A3:A20=YEAR(G19)&amp;"-"&amp;ROUNDUP(MONTH(G19)/3,0))*(地价!AD2:AH2=N22)*(地价!AD3:AH20))</f>
        <v>1.6400000000000001E-2</v>
      </c>
      <c r="R22" s="2955"/>
      <c r="S22" s="2955"/>
      <c r="T22" s="2955"/>
      <c r="U22" s="2955"/>
      <c r="V22" s="2955"/>
      <c r="W22" s="2199"/>
      <c r="X22" s="2199"/>
      <c r="Y22" s="2199"/>
      <c r="Z22" s="2199"/>
      <c r="AA22" s="2199"/>
      <c r="AB22" s="2199"/>
      <c r="AC22" s="2199"/>
      <c r="AD22" s="1475"/>
      <c r="AE22" s="1475"/>
      <c r="AF22" s="1475"/>
      <c r="AG22" s="1475"/>
      <c r="AH22" s="1475"/>
      <c r="AI22" s="1475"/>
    </row>
    <row r="23" spans="1:40" ht="27.75" thickBot="1">
      <c r="A23" s="1646" t="s">
        <v>1870</v>
      </c>
      <c r="B23" s="1486" t="s">
        <v>981</v>
      </c>
      <c r="C23" s="1063">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924</v>
      </c>
      <c r="O23" s="1545"/>
      <c r="P23" s="2799">
        <f>SUMPRODUCT((地价!A3:A20=YEAR(G19)&amp;"-"&amp;ROUNDUP(MONTH(G19)/3,0))*(地价!AD2:AH2=N23)*(地价!AD3:AH20))</f>
        <v>2.7799999999999998E-2</v>
      </c>
      <c r="R23" s="2955"/>
      <c r="S23" s="2955"/>
      <c r="T23" s="2955"/>
      <c r="U23" s="2955"/>
      <c r="V23" s="2955"/>
      <c r="W23" s="2199"/>
      <c r="X23" s="2199"/>
      <c r="Y23" s="2199"/>
      <c r="Z23" s="2199"/>
      <c r="AA23" s="2199"/>
      <c r="AB23" s="2199"/>
      <c r="AC23" s="2199"/>
      <c r="AN23" s="1407"/>
    </row>
    <row r="24" spans="1:40" s="1424" customFormat="1" ht="15.75" thickBot="1">
      <c r="A24" s="1644" t="s">
        <v>1871</v>
      </c>
      <c r="B24" s="1418" t="s">
        <v>982</v>
      </c>
      <c r="C24" s="1064">
        <f>SUMIF(A44:A87,E2,B44:B87)</f>
        <v>0</v>
      </c>
      <c r="D24" s="1538"/>
      <c r="E24" s="1539"/>
      <c r="F24" s="1539"/>
      <c r="G24" s="1539"/>
      <c r="H24" s="1539"/>
      <c r="I24" s="1539"/>
      <c r="J24" s="1539"/>
      <c r="K24" s="1484"/>
      <c r="L24" s="1484"/>
      <c r="M24" s="1484"/>
      <c r="N24" s="1487" t="s">
        <v>983</v>
      </c>
      <c r="O24" s="1546"/>
      <c r="P24" s="1544">
        <f>SUMPRODUCT((地价!A3:A20=YEAR(G19)&amp;"-"&amp;ROUNDUP(MONTH(G19)/3,0))*(地价!AD2:AH2=N24)*(地价!AD3:AH20))</f>
        <v>1.3899999999999999E-2</v>
      </c>
      <c r="R24" s="2955"/>
      <c r="S24" s="2955"/>
      <c r="T24" s="2955"/>
      <c r="U24" s="2955"/>
      <c r="V24" s="2955"/>
      <c r="W24" s="2199"/>
      <c r="X24" s="2199"/>
      <c r="Y24" s="2199"/>
      <c r="Z24" s="2199"/>
      <c r="AA24" s="2199"/>
      <c r="AB24" s="2199"/>
      <c r="AC24" s="2199"/>
      <c r="AD24" s="1475"/>
      <c r="AE24" s="1475"/>
      <c r="AF24" s="1475"/>
      <c r="AG24" s="1475"/>
      <c r="AH24" s="1475"/>
      <c r="AI24" s="1475"/>
    </row>
    <row r="25" spans="1:40" ht="15" thickBot="1">
      <c r="A25" s="1644" t="s">
        <v>1872</v>
      </c>
      <c r="B25" s="1489" t="s">
        <v>984</v>
      </c>
      <c r="C25" s="1490"/>
      <c r="D25" s="1433"/>
      <c r="E25" s="1433"/>
      <c r="F25" s="1491"/>
      <c r="G25" s="1433"/>
      <c r="H25" s="1433"/>
      <c r="I25" s="1433"/>
      <c r="J25" s="1434"/>
      <c r="K25" s="1404"/>
      <c r="L25" s="2199"/>
      <c r="M25" s="2199"/>
      <c r="N25" s="2827" t="s">
        <v>2654</v>
      </c>
      <c r="O25" s="2199"/>
      <c r="P25" s="1544">
        <f>SUMPRODUCT((地价!A3:A20=YEAR(G19)&amp;"-"&amp;ROUNDUP(MONTH(G19)/3,0))*(地价!AD2:AH2=N25)*(地价!AD3:AH20))</f>
        <v>2.4899999999999999E-2</v>
      </c>
      <c r="R25" s="2955"/>
      <c r="S25" s="2955"/>
      <c r="T25" s="2955"/>
      <c r="U25" s="2955"/>
      <c r="V25" s="2955"/>
      <c r="W25" s="2199"/>
      <c r="X25" s="2199"/>
      <c r="Y25" s="2199"/>
      <c r="Z25" s="2199"/>
      <c r="AA25" s="2199"/>
      <c r="AB25" s="2199"/>
      <c r="AC25" s="2199"/>
    </row>
    <row r="26" spans="1:40" ht="14.25">
      <c r="A26" s="1492"/>
      <c r="B26" s="1486" t="s">
        <v>988</v>
      </c>
      <c r="C26" s="1065" t="e">
        <f>E29+SUM(E33:E39)</f>
        <v>#DIV/0!</v>
      </c>
      <c r="D26" s="1493"/>
      <c r="E26" s="1459"/>
      <c r="F26" s="1494"/>
      <c r="G26" s="1459"/>
      <c r="H26" s="1459"/>
      <c r="I26" s="1459"/>
      <c r="J26" s="1495"/>
      <c r="K26" s="1404"/>
      <c r="L26" s="2199"/>
      <c r="M26" s="2199"/>
      <c r="N26" s="2199"/>
      <c r="O26" s="2199"/>
      <c r="P26" s="2199"/>
      <c r="Q26" s="2199"/>
      <c r="R26" s="2955"/>
      <c r="S26" s="2955"/>
      <c r="T26" s="2955"/>
      <c r="U26" s="2955"/>
      <c r="V26" s="2955"/>
      <c r="W26" s="2199"/>
      <c r="X26" s="2199"/>
      <c r="Y26" s="2199"/>
      <c r="Z26" s="2199"/>
      <c r="AA26" s="2199"/>
      <c r="AB26" s="2199"/>
      <c r="AC26" s="2199"/>
      <c r="AD26" s="1475"/>
      <c r="AE26" s="1475"/>
      <c r="AF26" s="1475"/>
      <c r="AG26" s="1475"/>
    </row>
    <row r="27" spans="1:40" ht="15" thickBot="1">
      <c r="A27" s="1492"/>
      <c r="B27" s="1496" t="s">
        <v>990</v>
      </c>
      <c r="C27" s="1066" t="e">
        <f>E30+SUM(I33:I39)</f>
        <v>#DIV/0!</v>
      </c>
      <c r="D27" s="1497"/>
      <c r="E27" s="1498"/>
      <c r="F27" s="1499"/>
      <c r="G27" s="1498"/>
      <c r="H27" s="1498"/>
      <c r="I27" s="1498"/>
      <c r="J27" s="1500"/>
      <c r="K27" s="1404"/>
      <c r="L27" s="2199"/>
      <c r="M27" s="2199"/>
      <c r="N27" s="2199"/>
      <c r="O27" s="2199"/>
      <c r="P27" s="2199"/>
      <c r="Q27" s="2199"/>
      <c r="R27" s="2955"/>
      <c r="S27" s="2955"/>
      <c r="T27" s="2955"/>
      <c r="U27" s="2955"/>
      <c r="V27" s="2955"/>
      <c r="W27" s="2199"/>
      <c r="X27" s="2199"/>
      <c r="Y27" s="2199"/>
      <c r="Z27" s="2199"/>
      <c r="AA27" s="2199"/>
      <c r="AB27" s="2199"/>
      <c r="AC27" s="2199"/>
    </row>
    <row r="28" spans="1:40" ht="14.25">
      <c r="A28" s="1488"/>
      <c r="B28" s="1501" t="s">
        <v>991</v>
      </c>
      <c r="C28" s="1502" t="s">
        <v>992</v>
      </c>
      <c r="D28" s="1502" t="s">
        <v>993</v>
      </c>
      <c r="E28" s="1503" t="s">
        <v>994</v>
      </c>
      <c r="F28" s="1504"/>
      <c r="G28" s="1445"/>
      <c r="H28" s="1445"/>
      <c r="I28" s="1445"/>
      <c r="J28" s="1446"/>
      <c r="K28" s="1404"/>
      <c r="L28" s="2199"/>
      <c r="M28" s="2199"/>
      <c r="N28" s="2199"/>
      <c r="O28" s="2199"/>
      <c r="P28" s="2199"/>
      <c r="Q28" s="2199"/>
      <c r="R28" s="2955"/>
      <c r="S28" s="2955"/>
      <c r="T28" s="2955"/>
      <c r="U28" s="2955"/>
      <c r="V28" s="2955"/>
      <c r="W28" s="2199"/>
      <c r="X28" s="2199"/>
      <c r="Y28" s="2199"/>
      <c r="Z28" s="2199"/>
      <c r="AA28" s="2199"/>
      <c r="AB28" s="2199"/>
      <c r="AC28" s="2199"/>
      <c r="AD28" s="1475"/>
      <c r="AE28" s="1475"/>
      <c r="AF28" s="1475"/>
      <c r="AG28" s="1475"/>
    </row>
    <row r="29" spans="1:40" ht="24">
      <c r="A29" s="1505"/>
      <c r="B29" s="1506" t="s">
        <v>995</v>
      </c>
      <c r="C29" s="1065" t="e">
        <f>ROUND(C5*C18*C19*C20*C21*C24,0)</f>
        <v>#DIV/0!</v>
      </c>
      <c r="D29" s="1507"/>
      <c r="E29" s="1853" t="e">
        <f>ROUND(C29*D29/10000,0)</f>
        <v>#DIV/0!</v>
      </c>
      <c r="F29" s="1508" t="s">
        <v>1700</v>
      </c>
      <c r="G29" s="1509"/>
      <c r="H29" s="1509"/>
      <c r="I29" s="1509"/>
      <c r="J29" s="1510"/>
      <c r="K29" s="1404"/>
      <c r="L29" s="2199"/>
      <c r="M29" s="2199"/>
      <c r="N29" s="2199"/>
      <c r="O29" s="2199"/>
      <c r="P29" s="2199"/>
      <c r="Q29" s="2199"/>
      <c r="R29" s="2955"/>
      <c r="S29" s="2955"/>
      <c r="T29" s="2955"/>
      <c r="U29" s="2955"/>
      <c r="V29" s="2955"/>
      <c r="W29" s="2199"/>
      <c r="X29" s="2199"/>
      <c r="Y29" s="2199"/>
      <c r="Z29" s="2199"/>
      <c r="AA29" s="2199"/>
      <c r="AB29" s="2199"/>
      <c r="AC29" s="2199"/>
      <c r="AH29" s="1405"/>
      <c r="AI29" s="1405"/>
      <c r="AJ29" s="1408"/>
      <c r="AK29" s="1408"/>
      <c r="AL29" s="1408"/>
      <c r="AM29" s="1408"/>
    </row>
    <row r="30" spans="1:40" ht="24.75" thickBot="1">
      <c r="A30" s="1511"/>
      <c r="B30" s="1512" t="s">
        <v>996</v>
      </c>
      <c r="C30" s="1053" t="e">
        <f>ROUND(IF(E2="工业",C29*M39,C29*M38),0)</f>
        <v>#DIV/0!</v>
      </c>
      <c r="D30" s="1513"/>
      <c r="E30" s="1853" t="e">
        <f>ROUND(C30*D30/10000,0)</f>
        <v>#DIV/0!</v>
      </c>
      <c r="F30" s="1514" t="s">
        <v>997</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998</v>
      </c>
      <c r="C31" s="1519" t="s">
        <v>999</v>
      </c>
      <c r="D31" s="1445"/>
      <c r="E31" s="1519"/>
      <c r="F31" s="1519"/>
      <c r="G31" s="1443" t="s">
        <v>997</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992</v>
      </c>
      <c r="D32" s="1523" t="s">
        <v>993</v>
      </c>
      <c r="E32" s="1523" t="s">
        <v>994</v>
      </c>
      <c r="F32" s="1524" t="s">
        <v>1000</v>
      </c>
      <c r="G32" s="1482" t="s">
        <v>992</v>
      </c>
      <c r="H32" s="1482" t="s">
        <v>993</v>
      </c>
      <c r="I32" s="1482" t="s">
        <v>994</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24" t="s">
        <v>2971</v>
      </c>
      <c r="B33" s="1527" t="s">
        <v>1001</v>
      </c>
      <c r="C33" s="1065" t="e">
        <f>ROUND(D5*C19*C20*C24*F33,0)</f>
        <v>#DIV/0!</v>
      </c>
      <c r="D33" s="1540"/>
      <c r="E33" s="1050" t="e">
        <f>ROUND(C33*D33/10000,0)</f>
        <v>#DIV/0!</v>
      </c>
      <c r="F33" s="1050">
        <f>SUMIF(修正!A45:A56,G2,修正!B45:B56)</f>
        <v>0</v>
      </c>
      <c r="G33" s="1050" t="e">
        <f t="shared" ref="G33:G39" si="6">ROUND(IF(E2="工业",C33*$M$39,C33*$M$38),0)</f>
        <v>#DIV/0!</v>
      </c>
      <c r="H33" s="1050">
        <f>D33</f>
        <v>0</v>
      </c>
      <c r="I33" s="1050" t="e">
        <f>ROUND(G33*H33/10000,0)</f>
        <v>#DIV/0!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25"/>
      <c r="B34" s="1448" t="s">
        <v>1002</v>
      </c>
      <c r="C34" s="1065" t="e">
        <f>ROUND(D5*C19*C20*C24*F34,0)</f>
        <v>#DIV/0!</v>
      </c>
      <c r="D34" s="1540"/>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25"/>
      <c r="B35" s="1448" t="s">
        <v>1003</v>
      </c>
      <c r="C35" s="1065" t="e">
        <f>ROUND(D5*C19*C20*C24*F35,0)</f>
        <v>#DIV/0!</v>
      </c>
      <c r="D35" s="1540"/>
      <c r="E35" s="1050" t="e">
        <f t="shared" si="7"/>
        <v>#DIV/0!</v>
      </c>
      <c r="F35" s="1050">
        <f>SUMIF(修正!A45:A56,G2,修正!D45:D56)</f>
        <v>0</v>
      </c>
      <c r="G35" s="1050" t="e">
        <f t="shared" si="6"/>
        <v>#DIV/0!</v>
      </c>
      <c r="H35" s="1050">
        <f t="shared" si="8"/>
        <v>0</v>
      </c>
      <c r="I35" s="1050" t="e">
        <f t="shared" si="9"/>
        <v>#DIV/0!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26"/>
      <c r="B36" s="1448" t="s">
        <v>1004</v>
      </c>
      <c r="C36" s="1065" t="e">
        <f>ROUND(D5*C19*C20*C24*F36,0)</f>
        <v>#DIV/0!</v>
      </c>
      <c r="D36" s="1540"/>
      <c r="E36" s="1050" t="e">
        <f t="shared" si="7"/>
        <v>#DIV/0!</v>
      </c>
      <c r="F36" s="1050">
        <f>SUMIF(修正!A45:A56,G2,修正!E45:E56)</f>
        <v>0</v>
      </c>
      <c r="G36" s="1050" t="e">
        <f t="shared" si="6"/>
        <v>#DIV/0!</v>
      </c>
      <c r="H36" s="1050">
        <f t="shared" si="8"/>
        <v>0</v>
      </c>
      <c r="I36" s="1050" t="e">
        <f t="shared" si="9"/>
        <v>#DIV/0!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1005</v>
      </c>
      <c r="C37" s="1050" t="e">
        <f>ROUND(C5*C19*C20*C24*F37,0)</f>
        <v>#DIV/0!</v>
      </c>
      <c r="D37" s="1540"/>
      <c r="E37" s="1050" t="e">
        <f t="shared" si="7"/>
        <v>#DIV/0!</v>
      </c>
      <c r="F37" s="1065">
        <f>SUMIF(修正!A45:A56,G2,修正!F45:F56)</f>
        <v>0</v>
      </c>
      <c r="G37" s="1050" t="e">
        <f t="shared" si="6"/>
        <v>#DIV/0!</v>
      </c>
      <c r="H37" s="1050">
        <f t="shared" si="8"/>
        <v>0</v>
      </c>
      <c r="I37" s="1050" t="e">
        <f t="shared" si="9"/>
        <v>#DIV/0!</v>
      </c>
      <c r="J37" s="1528"/>
      <c r="K37" s="1404"/>
      <c r="L37" s="1547" t="s">
        <v>1702</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1006</v>
      </c>
      <c r="C38" s="1050" t="e">
        <f>ROUND(C5*C19*C20*C24*F38,0)</f>
        <v>#DIV/0!</v>
      </c>
      <c r="D38" s="1540"/>
      <c r="E38" s="1050" t="e">
        <f t="shared" si="7"/>
        <v>#DIV/0!</v>
      </c>
      <c r="F38" s="1065">
        <f>SUMIF(修正!A45:A56,G2,修正!G45:G56)</f>
        <v>0</v>
      </c>
      <c r="G38" s="1050" t="e">
        <f t="shared" si="6"/>
        <v>#DIV/0!</v>
      </c>
      <c r="H38" s="1050">
        <f t="shared" si="8"/>
        <v>0</v>
      </c>
      <c r="I38" s="1050" t="e">
        <f t="shared" si="9"/>
        <v>#DIV/0!</v>
      </c>
      <c r="J38" s="1528"/>
      <c r="K38" s="1404"/>
      <c r="L38" s="1549" t="s">
        <v>1704</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1007</v>
      </c>
      <c r="C39" s="1053" t="e">
        <f>ROUND(C5*C19*C20*C24*F39,0)</f>
        <v>#DIV/0!</v>
      </c>
      <c r="D39" s="1541"/>
      <c r="E39" s="1053" t="e">
        <f t="shared" si="7"/>
        <v>#DIV/0!</v>
      </c>
      <c r="F39" s="1067">
        <f>SUMIF(修正!A45:A56,G2,修正!H45:H56)</f>
        <v>0</v>
      </c>
      <c r="G39" s="1053" t="e">
        <f t="shared" si="6"/>
        <v>#DIV/0!</v>
      </c>
      <c r="H39" s="1053">
        <f t="shared" si="8"/>
        <v>0</v>
      </c>
      <c r="I39" s="1053" t="e">
        <f t="shared" si="9"/>
        <v>#DIV/0!</v>
      </c>
      <c r="J39" s="1530"/>
      <c r="K39" s="1404"/>
      <c r="L39" s="1551" t="s">
        <v>1703</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1008</v>
      </c>
      <c r="B44" s="2448"/>
      <c r="C44" s="2449"/>
      <c r="D44" s="2450"/>
      <c r="E44" s="2450"/>
      <c r="F44" s="2451"/>
      <c r="G44" s="1068"/>
      <c r="H44" s="2451"/>
      <c r="I44" s="1068"/>
      <c r="J44" s="1068"/>
      <c r="K44" s="1068"/>
      <c r="L44" s="1068"/>
      <c r="M44" s="1068"/>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1009</v>
      </c>
      <c r="B45" s="2453">
        <f>1+E47</f>
        <v>1</v>
      </c>
      <c r="C45" s="2454"/>
      <c r="D45" s="2455"/>
      <c r="E45" s="2456"/>
      <c r="F45" s="2457"/>
      <c r="G45" s="2451"/>
      <c r="H45" s="2451"/>
      <c r="I45" s="1068"/>
      <c r="J45" s="1068"/>
      <c r="K45" s="1068"/>
      <c r="L45" s="1068"/>
      <c r="M45" s="1068"/>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69" t="s">
        <v>1010</v>
      </c>
      <c r="B46" s="2436" t="s">
        <v>1011</v>
      </c>
      <c r="C46" s="2458" t="s">
        <v>1012</v>
      </c>
      <c r="D46" s="2459" t="s">
        <v>1013</v>
      </c>
      <c r="E46" s="2460" t="s">
        <v>1015</v>
      </c>
      <c r="F46" s="2461" t="s">
        <v>2251</v>
      </c>
      <c r="G46" s="2459" t="s">
        <v>1016</v>
      </c>
      <c r="H46" s="2442" t="s">
        <v>2420</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36">
      <c r="A47" s="1069" t="s">
        <v>1022</v>
      </c>
      <c r="B47" s="2439" t="str">
        <f>估价对象房地状况!C16</f>
        <v>估价对象位于XX商圈，周边商业氛围成熟，人流量大，商业繁华度好</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48">
      <c r="A48" s="1069" t="s">
        <v>1023</v>
      </c>
      <c r="B48" s="2436" t="str">
        <f>估价对象房地状况!C18</f>
        <v>估价对象周边道路状况、公共交通通达情况、停车便捷程度，综合评价交通便捷度较好</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69" t="s">
        <v>1024</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69" t="s">
        <v>1025</v>
      </c>
      <c r="B50" s="3127" t="s">
        <v>2946</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69" t="s">
        <v>1026</v>
      </c>
      <c r="B51" s="2436">
        <f>估价对象房地状况!C24</f>
        <v>0</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69" t="s">
        <v>1027</v>
      </c>
      <c r="B52" s="3126" t="s">
        <v>2945</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1028</v>
      </c>
      <c r="B53" s="2437" t="str">
        <f>估价对象房地状况!C21</f>
        <v>估价对象所在区域公共配套设施齐备情况</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1029</v>
      </c>
      <c r="B54" s="2436" t="str">
        <f>估价对象房地状况!C22</f>
        <v>估价对象所在区域基础设施水平</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1030</v>
      </c>
      <c r="B55" s="2440" t="str">
        <f>估价对象房地状况!C20</f>
        <v>区域自然环境：；人文环境；综合评价环境状况一般</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1031</v>
      </c>
      <c r="B56" s="2453">
        <f>1+E58</f>
        <v>1</v>
      </c>
      <c r="C56" s="2472"/>
      <c r="D56" s="2455"/>
      <c r="E56" s="2456"/>
      <c r="F56" s="2457"/>
      <c r="G56" s="2451"/>
      <c r="H56" s="2451"/>
      <c r="I56" s="2451"/>
      <c r="J56" s="1068"/>
      <c r="K56" s="1068"/>
      <c r="L56" s="1068"/>
      <c r="M56" s="1068"/>
      <c r="N56" s="1068"/>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69" t="s">
        <v>1010</v>
      </c>
      <c r="B57" s="2436"/>
      <c r="C57" s="2458" t="s">
        <v>1012</v>
      </c>
      <c r="D57" s="2459" t="s">
        <v>1013</v>
      </c>
      <c r="E57" s="2460" t="s">
        <v>1015</v>
      </c>
      <c r="F57" s="2461" t="s">
        <v>2252</v>
      </c>
      <c r="G57" s="2459" t="s">
        <v>1016</v>
      </c>
      <c r="H57" s="2442" t="s">
        <v>2420</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36">
      <c r="A58" s="1069" t="s">
        <v>1032</v>
      </c>
      <c r="B58" s="2439" t="str">
        <f>估价对象房地状况!C17</f>
        <v>估价对象位于XX商圈，周边办公楼项目较多，入驻率高，办公集聚程度较好</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48">
      <c r="A59" s="1069" t="s">
        <v>1023</v>
      </c>
      <c r="B59" s="2436" t="str">
        <f>估价对象房地状况!C18</f>
        <v>估价对象周边道路状况、公共交通通达情况、停车便捷程度，综合评价交通便捷度较好</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69" t="s">
        <v>1024</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69" t="s">
        <v>1025</v>
      </c>
      <c r="B61" s="3127" t="s">
        <v>2947</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69" t="s">
        <v>1026</v>
      </c>
      <c r="B62" s="2436">
        <f>估价对象房地状况!C24</f>
        <v>0</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69" t="s">
        <v>1027</v>
      </c>
      <c r="B63" s="3126" t="s">
        <v>2945</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69" t="s">
        <v>1028</v>
      </c>
      <c r="B64" s="2437" t="str">
        <f>估价对象房地状况!C21</f>
        <v>估价对象所在区域公共配套设施齐备情况</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69" t="s">
        <v>1029</v>
      </c>
      <c r="B65" s="2437" t="str">
        <f>估价对象房地状况!C22</f>
        <v>估价对象所在区域基础设施水平</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1030</v>
      </c>
      <c r="B66" s="2441" t="str">
        <f>估价对象房地状况!C20</f>
        <v>区域自然环境：；人文环境；综合评价环境状况一般</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1033</v>
      </c>
      <c r="B67" s="2453">
        <f>1+E69</f>
        <v>1</v>
      </c>
      <c r="C67" s="2472"/>
      <c r="D67" s="2455"/>
      <c r="E67" s="2456"/>
      <c r="F67" s="2457"/>
      <c r="G67" s="2451"/>
      <c r="H67" s="2451"/>
      <c r="I67" s="2451"/>
      <c r="J67" s="1068"/>
      <c r="K67" s="1068"/>
      <c r="L67" s="1068"/>
      <c r="M67" s="1068"/>
      <c r="N67" s="1068"/>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69" t="s">
        <v>1010</v>
      </c>
      <c r="B68" s="2436"/>
      <c r="C68" s="2458" t="s">
        <v>1012</v>
      </c>
      <c r="D68" s="2459" t="s">
        <v>1013</v>
      </c>
      <c r="E68" s="2460" t="s">
        <v>1015</v>
      </c>
      <c r="F68" s="2461" t="s">
        <v>2253</v>
      </c>
      <c r="G68" s="2459" t="s">
        <v>1016</v>
      </c>
      <c r="H68" s="2442" t="s">
        <v>2420</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69" t="s">
        <v>1034</v>
      </c>
      <c r="B69" s="2439" t="str">
        <f>估价对象房地状况!C15</f>
        <v>估价对象周边居住用地比例、居住小区规模和社区发展完善程度，综合评价居住社区成熟度一般</v>
      </c>
      <c r="C69" s="1161"/>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48">
      <c r="A70" s="1069" t="s">
        <v>1035</v>
      </c>
      <c r="B70" s="2436" t="str">
        <f>估价对象房地状况!C18</f>
        <v>估价对象周边道路状况、公共交通通达情况、停车便捷程度，综合评价交通便捷度较好</v>
      </c>
      <c r="C70" s="1161"/>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69" t="s">
        <v>1024</v>
      </c>
      <c r="B71" s="2436">
        <f>估价对象房地状况!C19</f>
        <v>0</v>
      </c>
      <c r="C71" s="1161"/>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69" t="s">
        <v>1036</v>
      </c>
      <c r="B72" s="2436">
        <f>估价对象房地状况!C24</f>
        <v>0</v>
      </c>
      <c r="C72" s="1161"/>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69" t="s">
        <v>1028</v>
      </c>
      <c r="B73" s="2437" t="str">
        <f>估价对象房地状况!C21</f>
        <v>估价对象所在区域公共配套设施齐备情况</v>
      </c>
      <c r="C73" s="1161"/>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69" t="s">
        <v>1029</v>
      </c>
      <c r="B74" s="2437" t="str">
        <f>估价对象房地状况!C22</f>
        <v>估价对象所在区域基础设施水平</v>
      </c>
      <c r="C74" s="1161"/>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69" t="s">
        <v>1027</v>
      </c>
      <c r="B75" s="3126" t="s">
        <v>2945</v>
      </c>
      <c r="C75" s="1161"/>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69" t="s">
        <v>1030</v>
      </c>
      <c r="B76" s="2439" t="str">
        <f>估价对象房地状况!C20</f>
        <v>区域自然环境：；人文环境；综合评价环境状况一般</v>
      </c>
      <c r="C76" s="1161"/>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1037</v>
      </c>
      <c r="B77" s="1854"/>
      <c r="C77" s="1161"/>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8"/>
      <c r="AD77" s="1407"/>
      <c r="AJ77" s="1406"/>
      <c r="AN77" s="1407"/>
    </row>
    <row r="78" spans="1:40" ht="15">
      <c r="A78" s="2452" t="s">
        <v>1038</v>
      </c>
      <c r="B78" s="2453">
        <f>1+E80</f>
        <v>1</v>
      </c>
      <c r="C78" s="2472"/>
      <c r="D78" s="2455"/>
      <c r="E78" s="2456"/>
      <c r="F78" s="2457"/>
      <c r="G78" s="2451"/>
      <c r="H78" s="2451"/>
      <c r="I78" s="2451"/>
      <c r="J78" s="1068"/>
      <c r="K78" s="1068"/>
      <c r="L78" s="1068"/>
      <c r="M78" s="1068"/>
      <c r="N78" s="1068"/>
      <c r="AC78" s="1408"/>
      <c r="AD78" s="1407"/>
      <c r="AJ78" s="1406"/>
      <c r="AN78" s="1407"/>
    </row>
    <row r="79" spans="1:40" ht="24">
      <c r="A79" s="1069" t="s">
        <v>1010</v>
      </c>
      <c r="B79" s="2436"/>
      <c r="C79" s="2458" t="s">
        <v>1012</v>
      </c>
      <c r="D79" s="2459" t="s">
        <v>1013</v>
      </c>
      <c r="E79" s="2460" t="s">
        <v>1015</v>
      </c>
      <c r="F79" s="2461" t="s">
        <v>2254</v>
      </c>
      <c r="G79" s="2459" t="s">
        <v>1016</v>
      </c>
      <c r="H79" s="2442" t="s">
        <v>2420</v>
      </c>
      <c r="I79" s="2459" t="s">
        <v>1014</v>
      </c>
      <c r="J79" s="2462" t="s">
        <v>1017</v>
      </c>
      <c r="K79" s="2462" t="s">
        <v>1018</v>
      </c>
      <c r="L79" s="2462" t="s">
        <v>1019</v>
      </c>
      <c r="M79" s="2462" t="s">
        <v>1020</v>
      </c>
      <c r="N79" s="2462" t="s">
        <v>1021</v>
      </c>
      <c r="AC79" s="1408"/>
      <c r="AD79" s="1407"/>
      <c r="AJ79" s="1406"/>
      <c r="AN79" s="1407"/>
    </row>
    <row r="80" spans="1:40" ht="36">
      <c r="A80" s="1069" t="s">
        <v>1039</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69" t="s">
        <v>1035</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69" t="s">
        <v>1024</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69" t="s">
        <v>1036</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69" t="s">
        <v>1028</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69" t="s">
        <v>1029</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69" t="s">
        <v>1027</v>
      </c>
      <c r="B86" s="3126" t="s">
        <v>2945</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1040</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22" t="s">
        <v>1635</v>
      </c>
      <c r="B90" s="3422"/>
      <c r="C90" s="3422"/>
      <c r="D90" s="3422"/>
      <c r="E90" s="3422"/>
      <c r="F90" s="3422"/>
      <c r="G90" s="3422"/>
      <c r="H90" s="3422"/>
      <c r="I90" s="3422"/>
      <c r="J90" s="3422"/>
      <c r="K90" s="2478"/>
      <c r="L90" s="2478"/>
      <c r="M90" s="2478"/>
      <c r="N90" s="2478"/>
    </row>
    <row r="91" spans="1:40">
      <c r="A91" s="3423" t="s">
        <v>1445</v>
      </c>
      <c r="B91" s="3423" t="s">
        <v>1636</v>
      </c>
      <c r="C91" s="1142" t="s">
        <v>1637</v>
      </c>
      <c r="D91" s="1143"/>
      <c r="E91" s="1143"/>
      <c r="F91" s="1143"/>
      <c r="G91" s="1143"/>
      <c r="H91" s="1143"/>
      <c r="I91" s="1143"/>
      <c r="J91" s="1144"/>
      <c r="K91" s="1136"/>
      <c r="L91" s="1136"/>
      <c r="M91" s="1136"/>
      <c r="N91" s="1136"/>
    </row>
    <row r="92" spans="1:40">
      <c r="A92" s="3423"/>
      <c r="B92" s="3423"/>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12" t="s">
        <v>2770</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13"/>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13"/>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13"/>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13"/>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13"/>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13"/>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14"/>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12" t="s">
        <v>1639</v>
      </c>
      <c r="B101" s="1149" t="s">
        <v>907</v>
      </c>
      <c r="C101" s="1150">
        <f>$G$3</f>
        <v>6.2</v>
      </c>
      <c r="D101" s="1150">
        <f t="shared" ref="D101:N101" si="31">$G$3</f>
        <v>6.2</v>
      </c>
      <c r="E101" s="1150">
        <f t="shared" si="31"/>
        <v>6.2</v>
      </c>
      <c r="F101" s="1150">
        <f t="shared" si="31"/>
        <v>6.2</v>
      </c>
      <c r="G101" s="1150">
        <f t="shared" si="31"/>
        <v>6.2</v>
      </c>
      <c r="H101" s="1150">
        <f t="shared" si="31"/>
        <v>6.2</v>
      </c>
      <c r="I101" s="1150">
        <f t="shared" si="31"/>
        <v>6.2</v>
      </c>
      <c r="J101" s="1150">
        <f t="shared" si="31"/>
        <v>6.2</v>
      </c>
      <c r="K101" s="1150">
        <f t="shared" si="31"/>
        <v>6.2</v>
      </c>
      <c r="L101" s="1150">
        <f t="shared" si="31"/>
        <v>6.2</v>
      </c>
      <c r="M101" s="1150">
        <f t="shared" si="31"/>
        <v>6.2</v>
      </c>
      <c r="N101" s="1150">
        <f t="shared" si="31"/>
        <v>6.2</v>
      </c>
    </row>
    <row r="102" spans="1:14">
      <c r="A102" s="3413"/>
      <c r="B102" s="1145">
        <v>1</v>
      </c>
      <c r="C102" s="1146">
        <f>1.9362/C101</f>
        <v>0.31229032258064515</v>
      </c>
      <c r="D102" s="1146">
        <f>1.9362/D101</f>
        <v>0.31229032258064515</v>
      </c>
      <c r="E102" s="1146">
        <f>1.8629/E101</f>
        <v>0.30046774193548387</v>
      </c>
      <c r="F102" s="1146">
        <f>1.8629/F101</f>
        <v>0.30046774193548387</v>
      </c>
      <c r="G102" s="1146">
        <f>1.8629/G101</f>
        <v>0.30046774193548387</v>
      </c>
      <c r="H102" s="1146">
        <f>1.8629/H101</f>
        <v>0.30046774193548387</v>
      </c>
      <c r="I102" s="1146">
        <f>1.8629/I101</f>
        <v>0.30046774193548387</v>
      </c>
      <c r="J102" s="1146">
        <f>1.942/J101</f>
        <v>0.31322580645161291</v>
      </c>
      <c r="K102" s="1146">
        <f>1.942/K101</f>
        <v>0.31322580645161291</v>
      </c>
      <c r="L102" s="1146">
        <f>1.942/L101</f>
        <v>0.31322580645161291</v>
      </c>
      <c r="M102" s="1146">
        <f>1.942/M101</f>
        <v>0.31322580645161291</v>
      </c>
      <c r="N102" s="1146">
        <f>1.942/N101</f>
        <v>0.31322580645161291</v>
      </c>
    </row>
    <row r="103" spans="1:14">
      <c r="A103" s="3413"/>
      <c r="B103" s="1145">
        <v>2</v>
      </c>
      <c r="C103" s="1146">
        <f>1.4198/C101</f>
        <v>0.22899999999999998</v>
      </c>
      <c r="D103" s="1146">
        <f>1.4198/D101</f>
        <v>0.22899999999999998</v>
      </c>
      <c r="E103" s="1146">
        <f>1.3372/E101</f>
        <v>0.2156774193548387</v>
      </c>
      <c r="F103" s="1146">
        <f>1.3372/F101</f>
        <v>0.2156774193548387</v>
      </c>
      <c r="G103" s="1146">
        <f>1.3372/G101</f>
        <v>0.2156774193548387</v>
      </c>
      <c r="H103" s="1146">
        <f>1.3372/H101</f>
        <v>0.2156774193548387</v>
      </c>
      <c r="I103" s="1146">
        <f>1.3372/I101</f>
        <v>0.2156774193548387</v>
      </c>
      <c r="J103" s="1146">
        <f>1.2799/J101</f>
        <v>0.20643548387096775</v>
      </c>
      <c r="K103" s="1146">
        <f>1.2799/K101</f>
        <v>0.20643548387096775</v>
      </c>
      <c r="L103" s="1146">
        <f>1.2799/L101</f>
        <v>0.20643548387096775</v>
      </c>
      <c r="M103" s="1146">
        <f>1.2799/M101</f>
        <v>0.20643548387096775</v>
      </c>
      <c r="N103" s="1146">
        <f>1.2799/N101</f>
        <v>0.20643548387096775</v>
      </c>
    </row>
    <row r="104" spans="1:14">
      <c r="A104" s="3413"/>
      <c r="B104" s="1145">
        <v>3</v>
      </c>
      <c r="C104" s="1146">
        <f>1.1594/C101</f>
        <v>0.187</v>
      </c>
      <c r="D104" s="1146">
        <f>1.1594/D101</f>
        <v>0.187</v>
      </c>
      <c r="E104" s="1146">
        <f>1.0788/E101</f>
        <v>0.17399999999999999</v>
      </c>
      <c r="F104" s="1146">
        <f>1.0788/F101</f>
        <v>0.17399999999999999</v>
      </c>
      <c r="G104" s="1146">
        <f>1.0788/G101</f>
        <v>0.17399999999999999</v>
      </c>
      <c r="H104" s="1146">
        <f>1.0788/H101</f>
        <v>0.17399999999999999</v>
      </c>
      <c r="I104" s="1146">
        <f>1.0788/I101</f>
        <v>0.17399999999999999</v>
      </c>
      <c r="J104" s="1146">
        <f>1.0072/J101</f>
        <v>0.16245161290322582</v>
      </c>
      <c r="K104" s="1146">
        <f>1.0072/K101</f>
        <v>0.16245161290322582</v>
      </c>
      <c r="L104" s="1146">
        <f>1.0072/L101</f>
        <v>0.16245161290322582</v>
      </c>
      <c r="M104" s="1146">
        <f>1.0072/M101</f>
        <v>0.16245161290322582</v>
      </c>
      <c r="N104" s="1146">
        <f>1.0072/N101</f>
        <v>0.16245161290322582</v>
      </c>
    </row>
    <row r="105" spans="1:14">
      <c r="A105" s="3413"/>
      <c r="B105" s="1145">
        <v>4</v>
      </c>
      <c r="C105" s="1146">
        <f>0.9622/C101</f>
        <v>0.15519354838709679</v>
      </c>
      <c r="D105" s="1146">
        <f>0.9622/D101</f>
        <v>0.15519354838709679</v>
      </c>
      <c r="E105" s="1146">
        <f>0.8656/E101</f>
        <v>0.13961290322580647</v>
      </c>
      <c r="F105" s="1146">
        <f>0.8656/F101</f>
        <v>0.13961290322580647</v>
      </c>
      <c r="G105" s="1146">
        <f>0.8656/G101</f>
        <v>0.13961290322580647</v>
      </c>
      <c r="H105" s="1146">
        <f>0.8656/H101</f>
        <v>0.13961290322580647</v>
      </c>
      <c r="I105" s="1146">
        <f>0.8656/I101</f>
        <v>0.13961290322580647</v>
      </c>
      <c r="J105" s="1146">
        <f>0.7525/J101</f>
        <v>0.12137096774193547</v>
      </c>
      <c r="K105" s="1146">
        <f>0.7525/K101</f>
        <v>0.12137096774193547</v>
      </c>
      <c r="L105" s="1146">
        <f>0.7525/L101</f>
        <v>0.12137096774193547</v>
      </c>
      <c r="M105" s="1146">
        <f>0.7525/M101</f>
        <v>0.12137096774193547</v>
      </c>
      <c r="N105" s="1146">
        <f>0.7525/N101</f>
        <v>0.12137096774193547</v>
      </c>
    </row>
    <row r="106" spans="1:14">
      <c r="A106" s="3413"/>
      <c r="B106" s="1145">
        <v>5</v>
      </c>
      <c r="C106" s="1146">
        <f>0.8417/C101</f>
        <v>0.13575806451612904</v>
      </c>
      <c r="D106" s="1146">
        <f>0.8417/D101</f>
        <v>0.13575806451612904</v>
      </c>
      <c r="E106" s="1146">
        <f>0.7371/E101</f>
        <v>0.11888709677419354</v>
      </c>
      <c r="F106" s="1146">
        <f>0.7371/F101</f>
        <v>0.11888709677419354</v>
      </c>
      <c r="G106" s="1146">
        <f>0.7371/G101</f>
        <v>0.11888709677419354</v>
      </c>
      <c r="H106" s="1146">
        <f>0.7371/H101</f>
        <v>0.11888709677419354</v>
      </c>
      <c r="I106" s="1146">
        <f>0.7371/I101</f>
        <v>0.11888709677419354</v>
      </c>
      <c r="J106" s="1146">
        <f>0.5659/J101</f>
        <v>9.1274193548387089E-2</v>
      </c>
      <c r="K106" s="1146">
        <f>0.5659/K101</f>
        <v>9.1274193548387089E-2</v>
      </c>
      <c r="L106" s="1146">
        <f>0.5659/L101</f>
        <v>9.1274193548387089E-2</v>
      </c>
      <c r="M106" s="1146">
        <f>0.5659/M101</f>
        <v>9.1274193548387089E-2</v>
      </c>
      <c r="N106" s="1146">
        <f>0.5659/N101</f>
        <v>9.1274193548387089E-2</v>
      </c>
    </row>
    <row r="107" spans="1:14">
      <c r="A107" s="3413"/>
      <c r="B107" s="1145">
        <v>6</v>
      </c>
      <c r="C107" s="1146">
        <f>0.7608/C101</f>
        <v>0.12270967741935485</v>
      </c>
      <c r="D107" s="1146">
        <f>0.7608/D101</f>
        <v>0.12270967741935485</v>
      </c>
      <c r="E107" s="1146">
        <f>0.6482/E101</f>
        <v>0.10454838709677419</v>
      </c>
      <c r="F107" s="1146">
        <f>0.6482/F101</f>
        <v>0.10454838709677419</v>
      </c>
      <c r="G107" s="1146">
        <f>0.6482/G101</f>
        <v>0.10454838709677419</v>
      </c>
      <c r="H107" s="1146">
        <f>0.6482/H101</f>
        <v>0.10454838709677419</v>
      </c>
      <c r="I107" s="1146">
        <f>0.6482/I101</f>
        <v>0.10454838709677419</v>
      </c>
      <c r="J107" s="1146">
        <f>0.4525/J101</f>
        <v>7.2983870967741934E-2</v>
      </c>
      <c r="K107" s="1146">
        <f>0.4525/K101</f>
        <v>7.2983870967741934E-2</v>
      </c>
      <c r="L107" s="1146">
        <f>0.4525/L101</f>
        <v>7.2983870967741934E-2</v>
      </c>
      <c r="M107" s="1146">
        <f>0.4525/M101</f>
        <v>7.2983870967741934E-2</v>
      </c>
      <c r="N107" s="1146">
        <f>0.4525/N101</f>
        <v>7.2983870967741934E-2</v>
      </c>
    </row>
    <row r="108" spans="1:14">
      <c r="A108" s="3413"/>
      <c r="B108" s="3415"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14"/>
      <c r="B109" s="3416"/>
      <c r="C109" s="1148">
        <f>(-0.163*(C108^2)-0.59*C108+7617)*(10^(-4))/C101</f>
        <v>0.12261045161290322</v>
      </c>
      <c r="D109" s="1148">
        <f>(-0.163*(D108^2)-0.59*D108+7617)*(10^(-4))/D101</f>
        <v>0.12261045161290322</v>
      </c>
      <c r="E109" s="1148">
        <f>(-0.161*(E108^2)-7.509*E108+6533)*(10^(-4))/E101</f>
        <v>0.10423587096774194</v>
      </c>
      <c r="F109" s="1148">
        <f>(-0.161*(F108^2)-7.509*F108+6533)*(10^(-4))/F101</f>
        <v>0.10423587096774194</v>
      </c>
      <c r="G109" s="1148">
        <f>(-0.161*(G108^2)-7.509*G108+6533)*(10^(-4))/G101</f>
        <v>0.10423587096774194</v>
      </c>
      <c r="H109" s="1148">
        <f>(-0.161*(H108^2)-7.509*H108+6533)*(10^(-4))/H101</f>
        <v>0.10423587096774194</v>
      </c>
      <c r="I109" s="1148">
        <f>(-0.161*(I108^2)-7.509*I108+6533)*(10^(-4))/I101</f>
        <v>0.10423587096774194</v>
      </c>
      <c r="J109" s="1148">
        <f>(-0.214*(J108^2)-21.991*J108+4665)*(10^(-4))/J101</f>
        <v>7.2183483870967749E-2</v>
      </c>
      <c r="K109" s="1148">
        <f>(-0.214*(K108^2)-21.991*K108+4665)*(10^(-4))/K101</f>
        <v>7.2183483870967749E-2</v>
      </c>
      <c r="L109" s="1148">
        <f>(-0.214*(L108^2)-21.991*L108+4665)*(10^(-4))/L101</f>
        <v>7.2183483870967749E-2</v>
      </c>
      <c r="M109" s="1148">
        <f>(-0.214*(M108^2)-21.991*M108+4665)*(10^(-4))/M101</f>
        <v>7.2183483870967749E-2</v>
      </c>
      <c r="N109" s="1148">
        <f>(-0.214*(N108^2)-21.991*N108+4665)*(10^(-4))/N101</f>
        <v>7.2183483870967749E-2</v>
      </c>
    </row>
    <row r="110" spans="1:14">
      <c r="A110" s="3417" t="s">
        <v>1641</v>
      </c>
      <c r="B110" s="3417"/>
      <c r="C110" s="3417"/>
      <c r="D110" s="3417"/>
      <c r="E110" s="3417"/>
      <c r="F110" s="3417"/>
      <c r="G110" s="3417"/>
      <c r="H110" s="3417"/>
      <c r="I110" s="3417"/>
      <c r="J110" s="3417"/>
      <c r="K110" s="2476"/>
      <c r="L110" s="2476"/>
      <c r="M110" s="2476"/>
      <c r="N110" s="2476"/>
    </row>
    <row r="112" spans="1:14" ht="12.75" thickBot="1"/>
    <row r="113" spans="1:13" ht="25.5" thickBot="1">
      <c r="A113" s="1018" t="s">
        <v>897</v>
      </c>
      <c r="B113" s="2479">
        <f>G3</f>
        <v>6.2</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0.87519999999999998</v>
      </c>
      <c r="C115" s="1032">
        <f>B115</f>
        <v>0.87519999999999998</v>
      </c>
      <c r="D115" s="1032">
        <f>ROUND(0.8331-0.0109*B113,4)</f>
        <v>0.76549999999999996</v>
      </c>
      <c r="E115" s="1032">
        <f>D115</f>
        <v>0.76549999999999996</v>
      </c>
      <c r="F115" s="1032">
        <f>E115</f>
        <v>0.76549999999999996</v>
      </c>
      <c r="G115" s="1032">
        <f>F115</f>
        <v>0.76549999999999996</v>
      </c>
      <c r="H115" s="1032">
        <f>G115</f>
        <v>0.76549999999999996</v>
      </c>
      <c r="I115" s="1032">
        <f>ROUND(0.689-0.0155*B113,4)</f>
        <v>0.59289999999999998</v>
      </c>
      <c r="J115" s="1032">
        <f t="shared" ref="J115:M118" si="33">I115</f>
        <v>0.59289999999999998</v>
      </c>
      <c r="K115" s="1032">
        <f t="shared" si="33"/>
        <v>0.59289999999999998</v>
      </c>
      <c r="L115" s="1032">
        <f t="shared" si="33"/>
        <v>0.59289999999999998</v>
      </c>
      <c r="M115" s="1033">
        <f t="shared" si="33"/>
        <v>0.59289999999999998</v>
      </c>
    </row>
    <row r="116" spans="1:13" ht="12.75">
      <c r="A116" s="1031" t="s">
        <v>902</v>
      </c>
      <c r="B116" s="1032">
        <f>ROUND(0.949-0.012*B113,4)</f>
        <v>0.87460000000000004</v>
      </c>
      <c r="C116" s="1032">
        <f>B116</f>
        <v>0.87460000000000004</v>
      </c>
      <c r="D116" s="1032">
        <f>ROUND(0.8567-0.013*B113,4)</f>
        <v>0.77610000000000001</v>
      </c>
      <c r="E116" s="1032">
        <f t="shared" ref="E116:H117" si="34">D116</f>
        <v>0.77610000000000001</v>
      </c>
      <c r="F116" s="1032">
        <f t="shared" si="34"/>
        <v>0.77610000000000001</v>
      </c>
      <c r="G116" s="1032">
        <f t="shared" si="34"/>
        <v>0.77610000000000001</v>
      </c>
      <c r="H116" s="1032">
        <f t="shared" si="34"/>
        <v>0.77610000000000001</v>
      </c>
      <c r="I116" s="1032">
        <f>ROUND(0.7694-0.014*B113,4)</f>
        <v>0.68259999999999998</v>
      </c>
      <c r="J116" s="1032">
        <f t="shared" si="33"/>
        <v>0.68259999999999998</v>
      </c>
      <c r="K116" s="1032">
        <f t="shared" si="33"/>
        <v>0.68259999999999998</v>
      </c>
      <c r="L116" s="1032">
        <f t="shared" si="33"/>
        <v>0.68259999999999998</v>
      </c>
      <c r="M116" s="1033">
        <f t="shared" si="33"/>
        <v>0.68259999999999998</v>
      </c>
    </row>
    <row r="117" spans="1:13" ht="12.75">
      <c r="A117" s="1034" t="s">
        <v>903</v>
      </c>
      <c r="B117" s="1032">
        <f>ROUND(0.8808-0.006*B113,4)</f>
        <v>0.84360000000000002</v>
      </c>
      <c r="C117" s="1032">
        <f>B117</f>
        <v>0.84360000000000002</v>
      </c>
      <c r="D117" s="1032">
        <f>ROUND(0.8748-0.008*B113,4)</f>
        <v>0.82520000000000004</v>
      </c>
      <c r="E117" s="1032">
        <f t="shared" si="34"/>
        <v>0.82520000000000004</v>
      </c>
      <c r="F117" s="1032">
        <f t="shared" si="34"/>
        <v>0.82520000000000004</v>
      </c>
      <c r="G117" s="1032">
        <f t="shared" si="34"/>
        <v>0.82520000000000004</v>
      </c>
      <c r="H117" s="1032">
        <f t="shared" si="34"/>
        <v>0.82520000000000004</v>
      </c>
      <c r="I117" s="1032">
        <f>ROUND(0.7412-0.0095*B113,4)</f>
        <v>0.68230000000000002</v>
      </c>
      <c r="J117" s="1032">
        <f t="shared" si="33"/>
        <v>0.68230000000000002</v>
      </c>
      <c r="K117" s="1032">
        <f t="shared" si="33"/>
        <v>0.68230000000000002</v>
      </c>
      <c r="L117" s="1032">
        <f t="shared" si="33"/>
        <v>0.68230000000000002</v>
      </c>
      <c r="M117" s="1033">
        <f t="shared" si="33"/>
        <v>0.68230000000000002</v>
      </c>
    </row>
    <row r="118" spans="1:13" ht="13.5" thickBot="1">
      <c r="A118" s="1035" t="s">
        <v>904</v>
      </c>
      <c r="B118" s="1036">
        <f>ROUND(0.7275-0.01*B113,4)</f>
        <v>0.66549999999999998</v>
      </c>
      <c r="C118" s="1036">
        <f>B118</f>
        <v>0.66549999999999998</v>
      </c>
      <c r="D118" s="1036">
        <f>ROUND(0.7043-0.012*B113,4)</f>
        <v>0.62990000000000002</v>
      </c>
      <c r="E118" s="1036">
        <f>D118</f>
        <v>0.62990000000000002</v>
      </c>
      <c r="F118" s="1036">
        <f>E118</f>
        <v>0.62990000000000002</v>
      </c>
      <c r="G118" s="1036">
        <f>ROUND(0.6299-0.0122*B113,4)</f>
        <v>0.55430000000000001</v>
      </c>
      <c r="H118" s="1036">
        <f>G118</f>
        <v>0.55430000000000001</v>
      </c>
      <c r="I118" s="1036">
        <f>ROUND(0.5667-0.0136*B113,4)</f>
        <v>0.4824</v>
      </c>
      <c r="J118" s="1036">
        <f t="shared" si="33"/>
        <v>0.4824</v>
      </c>
      <c r="K118" s="1036">
        <f t="shared" si="33"/>
        <v>0.4824</v>
      </c>
      <c r="L118" s="1036">
        <f t="shared" si="33"/>
        <v>0.4824</v>
      </c>
      <c r="M118" s="1037">
        <f t="shared" si="33"/>
        <v>0.4824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2" customFormat="1" ht="19.5" customHeight="1">
      <c r="A18" s="3423" t="s">
        <v>1009</v>
      </c>
      <c r="B18" s="1156" t="s">
        <v>1448</v>
      </c>
      <c r="C18" s="1133" t="s">
        <v>1449</v>
      </c>
      <c r="D18" s="1134"/>
      <c r="E18" s="1156">
        <v>1</v>
      </c>
      <c r="F18" s="1135" t="s">
        <v>1450</v>
      </c>
      <c r="G18" s="1136"/>
      <c r="H18" s="1107"/>
      <c r="I18" s="1107"/>
    </row>
    <row r="19" spans="1:9" s="1602" customFormat="1" ht="19.5" customHeight="1">
      <c r="A19" s="3423"/>
      <c r="B19" s="3423" t="s">
        <v>1451</v>
      </c>
      <c r="C19" s="1133" t="s">
        <v>1452</v>
      </c>
      <c r="D19" s="1134"/>
      <c r="E19" s="1156">
        <v>0.9</v>
      </c>
      <c r="F19" s="1135" t="s">
        <v>1453</v>
      </c>
      <c r="G19" s="1136"/>
      <c r="H19" s="1107"/>
      <c r="I19" s="1107"/>
    </row>
    <row r="20" spans="1:9" s="1602" customFormat="1" ht="19.5" customHeight="1">
      <c r="A20" s="3423"/>
      <c r="B20" s="3423"/>
      <c r="C20" s="1133" t="s">
        <v>1454</v>
      </c>
      <c r="D20" s="1134"/>
      <c r="E20" s="1156">
        <v>1.1000000000000001</v>
      </c>
      <c r="F20" s="1135" t="s">
        <v>1455</v>
      </c>
      <c r="G20" s="1136"/>
      <c r="H20" s="1107"/>
      <c r="I20" s="1107"/>
    </row>
    <row r="21" spans="1:9" s="1602" customFormat="1" ht="19.5" customHeight="1">
      <c r="A21" s="3423"/>
      <c r="B21" s="3423"/>
      <c r="C21" s="1133" t="s">
        <v>1456</v>
      </c>
      <c r="D21" s="1134"/>
      <c r="E21" s="1156">
        <v>0.8</v>
      </c>
      <c r="F21" s="1135" t="s">
        <v>1457</v>
      </c>
      <c r="G21" s="1136"/>
      <c r="H21" s="1107"/>
      <c r="I21" s="1107"/>
    </row>
    <row r="22" spans="1:9" s="1602" customFormat="1" ht="19.5" customHeight="1">
      <c r="A22" s="3423"/>
      <c r="B22" s="3423"/>
      <c r="C22" s="1133" t="s">
        <v>1458</v>
      </c>
      <c r="D22" s="1134"/>
      <c r="E22" s="1156">
        <v>0.5</v>
      </c>
      <c r="F22" s="1135"/>
      <c r="G22" s="1136"/>
      <c r="H22" s="1107"/>
      <c r="I22" s="1107"/>
    </row>
    <row r="23" spans="1:9" s="1602" customFormat="1" ht="19.5" customHeight="1">
      <c r="A23" s="3423" t="s">
        <v>1031</v>
      </c>
      <c r="B23" s="1156" t="s">
        <v>1448</v>
      </c>
      <c r="C23" s="1133" t="s">
        <v>1459</v>
      </c>
      <c r="D23" s="1134"/>
      <c r="E23" s="1156">
        <v>1</v>
      </c>
      <c r="F23" s="1135" t="s">
        <v>1460</v>
      </c>
      <c r="G23" s="1136"/>
      <c r="H23" s="1107"/>
      <c r="I23" s="1107"/>
    </row>
    <row r="24" spans="1:9" s="1602" customFormat="1" ht="19.5" customHeight="1">
      <c r="A24" s="3423"/>
      <c r="B24" s="3423" t="s">
        <v>1451</v>
      </c>
      <c r="C24" s="1133" t="s">
        <v>1461</v>
      </c>
      <c r="D24" s="1134"/>
      <c r="E24" s="1156">
        <v>0.5</v>
      </c>
      <c r="F24" s="1135"/>
      <c r="G24" s="1136"/>
      <c r="H24" s="1107"/>
      <c r="I24" s="1107"/>
    </row>
    <row r="25" spans="1:9" s="1602" customFormat="1" ht="19.5" customHeight="1">
      <c r="A25" s="3423"/>
      <c r="B25" s="3423"/>
      <c r="C25" s="1133" t="s">
        <v>1462</v>
      </c>
      <c r="D25" s="1134"/>
      <c r="E25" s="1156">
        <v>1.1000000000000001</v>
      </c>
      <c r="F25" s="1135"/>
      <c r="G25" s="1136"/>
      <c r="H25" s="1107"/>
      <c r="I25" s="1107"/>
    </row>
    <row r="26" spans="1:9" s="1602" customFormat="1" ht="19.5" customHeight="1">
      <c r="A26" s="3423"/>
      <c r="B26" s="3423"/>
      <c r="C26" s="1133" t="s">
        <v>1463</v>
      </c>
      <c r="D26" s="1134"/>
      <c r="E26" s="1156">
        <v>1.1000000000000001</v>
      </c>
      <c r="F26" s="1135"/>
      <c r="G26" s="1136"/>
      <c r="H26" s="1107"/>
      <c r="I26" s="1107"/>
    </row>
    <row r="27" spans="1:9" s="1602" customFormat="1" ht="19.5" customHeight="1">
      <c r="A27" s="3423"/>
      <c r="B27" s="3423"/>
      <c r="C27" s="1133" t="s">
        <v>1464</v>
      </c>
      <c r="D27" s="1134"/>
      <c r="E27" s="1156">
        <v>0.9</v>
      </c>
      <c r="F27" s="1135" t="s">
        <v>1465</v>
      </c>
      <c r="G27" s="1136"/>
      <c r="H27" s="1107"/>
      <c r="I27" s="1107"/>
    </row>
    <row r="28" spans="1:9" s="1602" customFormat="1" ht="19.5" customHeight="1">
      <c r="A28" s="3423"/>
      <c r="B28" s="3423"/>
      <c r="C28" s="1133" t="s">
        <v>1466</v>
      </c>
      <c r="D28" s="1134"/>
      <c r="E28" s="1156">
        <v>0.9</v>
      </c>
      <c r="F28" s="1135" t="s">
        <v>1467</v>
      </c>
      <c r="G28" s="1136"/>
      <c r="H28" s="1107"/>
      <c r="I28" s="1107"/>
    </row>
    <row r="29" spans="1:9" s="1602" customFormat="1" ht="19.5" customHeight="1">
      <c r="A29" s="3423"/>
      <c r="B29" s="3423"/>
      <c r="C29" s="1133" t="s">
        <v>1468</v>
      </c>
      <c r="D29" s="1134"/>
      <c r="E29" s="1156">
        <v>0.9</v>
      </c>
      <c r="F29" s="1135" t="s">
        <v>1469</v>
      </c>
      <c r="G29" s="1136"/>
      <c r="H29" s="1107"/>
      <c r="I29" s="1107"/>
    </row>
    <row r="30" spans="1:9" s="1602" customFormat="1" ht="19.5" customHeight="1">
      <c r="A30" s="3423"/>
      <c r="B30" s="3423"/>
      <c r="C30" s="1133" t="s">
        <v>1470</v>
      </c>
      <c r="D30" s="1134"/>
      <c r="E30" s="1156">
        <v>0.9</v>
      </c>
      <c r="F30" s="1135" t="s">
        <v>1471</v>
      </c>
      <c r="G30" s="1136"/>
      <c r="H30" s="1107"/>
      <c r="I30" s="1107"/>
    </row>
    <row r="31" spans="1:9" s="1602" customFormat="1" ht="19.5" customHeight="1">
      <c r="A31" s="3423"/>
      <c r="B31" s="3423"/>
      <c r="C31" s="1133" t="s">
        <v>1472</v>
      </c>
      <c r="D31" s="1134"/>
      <c r="E31" s="1156">
        <v>0.8</v>
      </c>
      <c r="F31" s="1135" t="s">
        <v>1473</v>
      </c>
      <c r="G31" s="1136"/>
      <c r="H31" s="1107"/>
      <c r="I31" s="1107"/>
    </row>
    <row r="32" spans="1:9" s="1602" customFormat="1" ht="19.5" customHeight="1">
      <c r="A32" s="3423"/>
      <c r="B32" s="3423"/>
      <c r="C32" s="1133" t="s">
        <v>1474</v>
      </c>
      <c r="D32" s="1134"/>
      <c r="E32" s="1156">
        <v>0.8</v>
      </c>
      <c r="F32" s="1135" t="s">
        <v>1475</v>
      </c>
      <c r="G32" s="1136"/>
      <c r="H32" s="1107"/>
      <c r="I32" s="1107"/>
    </row>
    <row r="33" spans="1:9" s="1602" customFormat="1" ht="19.5" customHeight="1">
      <c r="A33" s="3423" t="s">
        <v>1476</v>
      </c>
      <c r="B33" s="1156" t="s">
        <v>1448</v>
      </c>
      <c r="C33" s="1133" t="s">
        <v>1477</v>
      </c>
      <c r="D33" s="1134"/>
      <c r="E33" s="1156">
        <v>1</v>
      </c>
      <c r="F33" s="1135" t="s">
        <v>1478</v>
      </c>
      <c r="G33" s="1136"/>
      <c r="H33" s="1107"/>
      <c r="I33" s="1107"/>
    </row>
    <row r="34" spans="1:9" s="1602" customFormat="1" ht="19.5" customHeight="1">
      <c r="A34" s="3423"/>
      <c r="B34" s="1156" t="s">
        <v>1451</v>
      </c>
      <c r="C34" s="1133" t="s">
        <v>1479</v>
      </c>
      <c r="D34" s="1134"/>
      <c r="E34" s="1156">
        <v>1.5</v>
      </c>
      <c r="F34" s="1135" t="s">
        <v>1480</v>
      </c>
      <c r="G34" s="1136"/>
      <c r="H34" s="1107"/>
      <c r="I34" s="1107"/>
    </row>
    <row r="35" spans="1:9" s="1602" customFormat="1" ht="19.5" customHeight="1">
      <c r="A35" s="3423" t="s">
        <v>1434</v>
      </c>
      <c r="B35" s="1156" t="s">
        <v>1448</v>
      </c>
      <c r="C35" s="1133" t="s">
        <v>1481</v>
      </c>
      <c r="D35" s="1134"/>
      <c r="E35" s="1156">
        <v>1</v>
      </c>
      <c r="F35" s="1135" t="s">
        <v>1482</v>
      </c>
      <c r="G35" s="1136"/>
      <c r="H35" s="1107"/>
      <c r="I35" s="1107"/>
    </row>
    <row r="36" spans="1:9" s="1602" customFormat="1" ht="19.5" customHeight="1">
      <c r="A36" s="3423"/>
      <c r="B36" s="3423" t="s">
        <v>1451</v>
      </c>
      <c r="C36" s="1133" t="s">
        <v>1483</v>
      </c>
      <c r="D36" s="1134"/>
      <c r="E36" s="1156">
        <v>1</v>
      </c>
      <c r="F36" s="1135" t="s">
        <v>1484</v>
      </c>
      <c r="G36" s="1136"/>
      <c r="H36" s="1107"/>
      <c r="I36" s="1107"/>
    </row>
    <row r="37" spans="1:9" s="1602" customFormat="1" ht="19.5" customHeight="1">
      <c r="A37" s="3423"/>
      <c r="B37" s="3423"/>
      <c r="C37" s="1133" t="s">
        <v>1485</v>
      </c>
      <c r="D37" s="1134"/>
      <c r="E37" s="1156">
        <v>1.5</v>
      </c>
      <c r="F37" s="1135" t="s">
        <v>1486</v>
      </c>
      <c r="G37" s="1136"/>
      <c r="H37" s="1107"/>
      <c r="I37" s="1107"/>
    </row>
    <row r="38" spans="1:9" s="1602" customFormat="1" ht="19.5" customHeight="1">
      <c r="A38" s="3423"/>
      <c r="B38" s="3423"/>
      <c r="C38" s="1133" t="s">
        <v>1487</v>
      </c>
      <c r="D38" s="1134"/>
      <c r="E38" s="1156">
        <v>1</v>
      </c>
      <c r="F38" s="1135" t="s">
        <v>1488</v>
      </c>
      <c r="G38" s="1136"/>
      <c r="H38" s="1107"/>
      <c r="I38" s="1107"/>
    </row>
    <row r="39" spans="1:9" s="1602" customFormat="1" ht="19.5" customHeight="1">
      <c r="A39" s="3423"/>
      <c r="B39" s="3423"/>
      <c r="C39" s="1133" t="s">
        <v>1489</v>
      </c>
      <c r="D39" s="1134"/>
      <c r="E39" s="1156">
        <v>1</v>
      </c>
      <c r="F39" s="1135" t="s">
        <v>1490</v>
      </c>
      <c r="G39" s="1136"/>
      <c r="H39" s="1107"/>
      <c r="I39" s="1107"/>
    </row>
    <row r="40" spans="1:9" s="1602" customFormat="1" ht="19.5" customHeight="1">
      <c r="A40" s="1603" t="s">
        <v>1491</v>
      </c>
      <c r="B40" s="1603"/>
      <c r="C40" s="1603"/>
      <c r="D40" s="1603"/>
      <c r="E40" s="1603"/>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23" t="s">
        <v>1503</v>
      </c>
      <c r="C61" s="1070" t="s">
        <v>1504</v>
      </c>
      <c r="D61" s="1070" t="s">
        <v>1505</v>
      </c>
      <c r="E61" s="1141">
        <v>0.5</v>
      </c>
      <c r="F61" s="1156">
        <v>80</v>
      </c>
      <c r="H61" s="1107">
        <f>SUMIF(C59:C119,基准地价!C8,E59:E119)</f>
        <v>0</v>
      </c>
    </row>
    <row r="62" spans="1:8" s="1107" customFormat="1" ht="24">
      <c r="A62" s="1156">
        <v>2</v>
      </c>
      <c r="B62" s="3423"/>
      <c r="C62" s="1070" t="s">
        <v>1506</v>
      </c>
      <c r="D62" s="1070" t="s">
        <v>1507</v>
      </c>
      <c r="E62" s="1141">
        <v>0.5</v>
      </c>
      <c r="F62" s="1156">
        <v>80</v>
      </c>
    </row>
    <row r="63" spans="1:8" s="1107" customFormat="1" ht="36">
      <c r="A63" s="1156">
        <v>3</v>
      </c>
      <c r="B63" s="3423"/>
      <c r="C63" s="1070" t="s">
        <v>1508</v>
      </c>
      <c r="D63" s="1070" t="s">
        <v>1509</v>
      </c>
      <c r="E63" s="1141">
        <v>0.5</v>
      </c>
      <c r="F63" s="1156">
        <v>80</v>
      </c>
    </row>
    <row r="64" spans="1:8" s="1107" customFormat="1" ht="36">
      <c r="A64" s="1156">
        <v>4</v>
      </c>
      <c r="B64" s="3423"/>
      <c r="C64" s="1070" t="s">
        <v>1510</v>
      </c>
      <c r="D64" s="1070" t="s">
        <v>1511</v>
      </c>
      <c r="E64" s="1141">
        <v>0.4</v>
      </c>
      <c r="F64" s="1156">
        <v>60</v>
      </c>
    </row>
    <row r="65" spans="1:6" s="1107" customFormat="1" ht="36">
      <c r="A65" s="1156">
        <v>5</v>
      </c>
      <c r="B65" s="3423"/>
      <c r="C65" s="1070" t="s">
        <v>1512</v>
      </c>
      <c r="D65" s="1070" t="s">
        <v>1513</v>
      </c>
      <c r="E65" s="1141">
        <v>0.2</v>
      </c>
      <c r="F65" s="1156">
        <v>30</v>
      </c>
    </row>
    <row r="66" spans="1:6" s="1107" customFormat="1" ht="36">
      <c r="A66" s="1156">
        <v>6</v>
      </c>
      <c r="B66" s="3423"/>
      <c r="C66" s="1070" t="s">
        <v>1514</v>
      </c>
      <c r="D66" s="1070" t="s">
        <v>1515</v>
      </c>
      <c r="E66" s="1141">
        <v>0.3</v>
      </c>
      <c r="F66" s="1156">
        <v>50</v>
      </c>
    </row>
    <row r="67" spans="1:6" s="1107" customFormat="1" ht="36">
      <c r="A67" s="1156">
        <v>7</v>
      </c>
      <c r="B67" s="3423"/>
      <c r="C67" s="1070" t="s">
        <v>1516</v>
      </c>
      <c r="D67" s="1070" t="s">
        <v>1517</v>
      </c>
      <c r="E67" s="1141">
        <v>0.2</v>
      </c>
      <c r="F67" s="1156">
        <v>30</v>
      </c>
    </row>
    <row r="68" spans="1:6" s="1107" customFormat="1" ht="36">
      <c r="A68" s="1156">
        <v>8</v>
      </c>
      <c r="B68" s="3423"/>
      <c r="C68" s="1070" t="s">
        <v>1518</v>
      </c>
      <c r="D68" s="1070" t="s">
        <v>1519</v>
      </c>
      <c r="E68" s="1141">
        <v>0.2</v>
      </c>
      <c r="F68" s="1156">
        <v>30</v>
      </c>
    </row>
    <row r="69" spans="1:6" s="1107" customFormat="1" ht="36">
      <c r="A69" s="1156">
        <v>9</v>
      </c>
      <c r="B69" s="3423"/>
      <c r="C69" s="1070" t="s">
        <v>1520</v>
      </c>
      <c r="D69" s="1070" t="s">
        <v>1521</v>
      </c>
      <c r="E69" s="1141">
        <v>0.2</v>
      </c>
      <c r="F69" s="1156">
        <v>30</v>
      </c>
    </row>
    <row r="70" spans="1:6" s="1107" customFormat="1" ht="48">
      <c r="A70" s="1156">
        <v>10</v>
      </c>
      <c r="B70" s="3423"/>
      <c r="C70" s="1070" t="s">
        <v>1522</v>
      </c>
      <c r="D70" s="1070" t="s">
        <v>1523</v>
      </c>
      <c r="E70" s="1141">
        <v>0.2</v>
      </c>
      <c r="F70" s="1156">
        <v>30</v>
      </c>
    </row>
    <row r="71" spans="1:6" s="1107" customFormat="1" ht="48">
      <c r="A71" s="1156">
        <v>11</v>
      </c>
      <c r="B71" s="3423"/>
      <c r="C71" s="1070" t="s">
        <v>1524</v>
      </c>
      <c r="D71" s="1070" t="s">
        <v>1525</v>
      </c>
      <c r="E71" s="1141">
        <v>0.2</v>
      </c>
      <c r="F71" s="1156">
        <v>30</v>
      </c>
    </row>
    <row r="72" spans="1:6" s="1107" customFormat="1" ht="36">
      <c r="A72" s="1156">
        <v>12</v>
      </c>
      <c r="B72" s="3423"/>
      <c r="C72" s="1070" t="s">
        <v>1526</v>
      </c>
      <c r="D72" s="1070" t="s">
        <v>1527</v>
      </c>
      <c r="E72" s="1141">
        <v>0.5</v>
      </c>
      <c r="F72" s="1156">
        <v>80</v>
      </c>
    </row>
    <row r="73" spans="1:6" s="1107" customFormat="1" ht="24">
      <c r="A73" s="1156">
        <v>13</v>
      </c>
      <c r="B73" s="3423"/>
      <c r="C73" s="1070" t="s">
        <v>1528</v>
      </c>
      <c r="D73" s="1070" t="s">
        <v>1529</v>
      </c>
      <c r="E73" s="1141">
        <v>0.4</v>
      </c>
      <c r="F73" s="1156">
        <v>60</v>
      </c>
    </row>
    <row r="74" spans="1:6" s="1107" customFormat="1" ht="24">
      <c r="A74" s="1156">
        <v>14</v>
      </c>
      <c r="B74" s="3423"/>
      <c r="C74" s="1070" t="s">
        <v>1530</v>
      </c>
      <c r="D74" s="1070" t="s">
        <v>1531</v>
      </c>
      <c r="E74" s="1141">
        <v>0.2</v>
      </c>
      <c r="F74" s="1156">
        <v>30</v>
      </c>
    </row>
    <row r="75" spans="1:6" s="1107" customFormat="1" ht="24">
      <c r="A75" s="1156">
        <v>15</v>
      </c>
      <c r="B75" s="3423"/>
      <c r="C75" s="1070" t="s">
        <v>1532</v>
      </c>
      <c r="D75" s="1070" t="s">
        <v>1533</v>
      </c>
      <c r="E75" s="1141">
        <v>0.2</v>
      </c>
      <c r="F75" s="1156">
        <v>30</v>
      </c>
    </row>
    <row r="76" spans="1:6" s="1107" customFormat="1" ht="24">
      <c r="A76" s="1156">
        <v>16</v>
      </c>
      <c r="B76" s="3423" t="s">
        <v>1534</v>
      </c>
      <c r="C76" s="1070" t="s">
        <v>1535</v>
      </c>
      <c r="D76" s="1070" t="s">
        <v>1536</v>
      </c>
      <c r="E76" s="1141">
        <v>0.5</v>
      </c>
      <c r="F76" s="1156">
        <v>80</v>
      </c>
    </row>
    <row r="77" spans="1:6" s="1107" customFormat="1" ht="24">
      <c r="A77" s="1156">
        <v>17</v>
      </c>
      <c r="B77" s="3423"/>
      <c r="C77" s="1070" t="s">
        <v>1537</v>
      </c>
      <c r="D77" s="1070" t="s">
        <v>1538</v>
      </c>
      <c r="E77" s="1141">
        <v>0.5</v>
      </c>
      <c r="F77" s="1156">
        <v>80</v>
      </c>
    </row>
    <row r="78" spans="1:6" s="1107" customFormat="1" ht="24">
      <c r="A78" s="1156">
        <v>18</v>
      </c>
      <c r="B78" s="3423"/>
      <c r="C78" s="1070" t="s">
        <v>1539</v>
      </c>
      <c r="D78" s="1070" t="s">
        <v>1540</v>
      </c>
      <c r="E78" s="1141">
        <v>0.2</v>
      </c>
      <c r="F78" s="1156">
        <v>30</v>
      </c>
    </row>
    <row r="79" spans="1:6" s="1107" customFormat="1" ht="24">
      <c r="A79" s="1156">
        <v>19</v>
      </c>
      <c r="B79" s="3423"/>
      <c r="C79" s="1070" t="s">
        <v>1541</v>
      </c>
      <c r="D79" s="1070" t="s">
        <v>1542</v>
      </c>
      <c r="E79" s="1141">
        <v>0.5</v>
      </c>
      <c r="F79" s="1156">
        <v>80</v>
      </c>
    </row>
    <row r="80" spans="1:6" s="1107" customFormat="1" ht="36">
      <c r="A80" s="1156">
        <v>20</v>
      </c>
      <c r="B80" s="3423"/>
      <c r="C80" s="1070" t="s">
        <v>1543</v>
      </c>
      <c r="D80" s="1070" t="s">
        <v>1544</v>
      </c>
      <c r="E80" s="1141">
        <v>0.2</v>
      </c>
      <c r="F80" s="1156">
        <v>30</v>
      </c>
    </row>
    <row r="81" spans="1:6" s="1107" customFormat="1" ht="36">
      <c r="A81" s="1156">
        <v>21</v>
      </c>
      <c r="B81" s="3423"/>
      <c r="C81" s="1070" t="s">
        <v>1545</v>
      </c>
      <c r="D81" s="1070" t="s">
        <v>1546</v>
      </c>
      <c r="E81" s="1141">
        <v>0.2</v>
      </c>
      <c r="F81" s="1156">
        <v>30</v>
      </c>
    </row>
    <row r="82" spans="1:6" s="1107" customFormat="1" ht="48">
      <c r="A82" s="1156">
        <v>22</v>
      </c>
      <c r="B82" s="3423"/>
      <c r="C82" s="1070" t="s">
        <v>1547</v>
      </c>
      <c r="D82" s="1070" t="s">
        <v>1548</v>
      </c>
      <c r="E82" s="1141">
        <v>0.2</v>
      </c>
      <c r="F82" s="1156">
        <v>30</v>
      </c>
    </row>
    <row r="83" spans="1:6" s="1107" customFormat="1" ht="48">
      <c r="A83" s="1156">
        <v>23</v>
      </c>
      <c r="B83" s="3423"/>
      <c r="C83" s="1070" t="s">
        <v>1549</v>
      </c>
      <c r="D83" s="1070" t="s">
        <v>1550</v>
      </c>
      <c r="E83" s="1141">
        <v>0.2</v>
      </c>
      <c r="F83" s="1156">
        <v>30</v>
      </c>
    </row>
    <row r="84" spans="1:6" s="1107" customFormat="1" ht="36">
      <c r="A84" s="1156">
        <v>24</v>
      </c>
      <c r="B84" s="3423"/>
      <c r="C84" s="1070" t="s">
        <v>1551</v>
      </c>
      <c r="D84" s="1070" t="s">
        <v>1552</v>
      </c>
      <c r="E84" s="1141">
        <v>0.2</v>
      </c>
      <c r="F84" s="1156">
        <v>30</v>
      </c>
    </row>
    <row r="85" spans="1:6" s="1107" customFormat="1" ht="36">
      <c r="A85" s="1156">
        <v>25</v>
      </c>
      <c r="B85" s="3423"/>
      <c r="C85" s="1070" t="s">
        <v>1553</v>
      </c>
      <c r="D85" s="1070" t="s">
        <v>1554</v>
      </c>
      <c r="E85" s="1141">
        <v>0.5</v>
      </c>
      <c r="F85" s="1156">
        <v>80</v>
      </c>
    </row>
    <row r="86" spans="1:6" s="1107" customFormat="1" ht="36">
      <c r="A86" s="1156">
        <v>26</v>
      </c>
      <c r="B86" s="3423"/>
      <c r="C86" s="1070" t="s">
        <v>1555</v>
      </c>
      <c r="D86" s="1070" t="s">
        <v>1556</v>
      </c>
      <c r="E86" s="1141">
        <v>0.2</v>
      </c>
      <c r="F86" s="1156">
        <v>30</v>
      </c>
    </row>
    <row r="87" spans="1:6" s="1107" customFormat="1" ht="36">
      <c r="A87" s="1156">
        <v>27</v>
      </c>
      <c r="B87" s="3423"/>
      <c r="C87" s="1070" t="s">
        <v>1557</v>
      </c>
      <c r="D87" s="1070" t="s">
        <v>1558</v>
      </c>
      <c r="E87" s="1141">
        <v>0.2</v>
      </c>
      <c r="F87" s="1156">
        <v>30</v>
      </c>
    </row>
    <row r="88" spans="1:6" s="1107" customFormat="1" ht="36">
      <c r="A88" s="1156">
        <v>28</v>
      </c>
      <c r="B88" s="3423"/>
      <c r="C88" s="1070" t="s">
        <v>1559</v>
      </c>
      <c r="D88" s="1070" t="s">
        <v>1560</v>
      </c>
      <c r="E88" s="1141">
        <v>0.2</v>
      </c>
      <c r="F88" s="1156">
        <v>30</v>
      </c>
    </row>
    <row r="89" spans="1:6" s="1107" customFormat="1" ht="24">
      <c r="A89" s="1156">
        <v>29</v>
      </c>
      <c r="B89" s="3423"/>
      <c r="C89" s="1070" t="s">
        <v>1561</v>
      </c>
      <c r="D89" s="1070" t="s">
        <v>1562</v>
      </c>
      <c r="E89" s="1141">
        <v>0.2</v>
      </c>
      <c r="F89" s="1156">
        <v>30</v>
      </c>
    </row>
    <row r="90" spans="1:6" s="1107" customFormat="1" ht="24">
      <c r="A90" s="1156">
        <v>30</v>
      </c>
      <c r="B90" s="3423"/>
      <c r="C90" s="1070" t="s">
        <v>1563</v>
      </c>
      <c r="D90" s="1070" t="s">
        <v>1564</v>
      </c>
      <c r="E90" s="1141">
        <v>0.2</v>
      </c>
      <c r="F90" s="1156">
        <v>30</v>
      </c>
    </row>
    <row r="91" spans="1:6" s="1107" customFormat="1" ht="36">
      <c r="A91" s="1156">
        <v>31</v>
      </c>
      <c r="B91" s="3423"/>
      <c r="C91" s="1070" t="s">
        <v>1565</v>
      </c>
      <c r="D91" s="1070" t="s">
        <v>1566</v>
      </c>
      <c r="E91" s="1141">
        <v>0.2</v>
      </c>
      <c r="F91" s="1156">
        <v>30</v>
      </c>
    </row>
    <row r="92" spans="1:6" s="1107" customFormat="1" ht="24">
      <c r="A92" s="1156">
        <v>32</v>
      </c>
      <c r="B92" s="3423" t="s">
        <v>1567</v>
      </c>
      <c r="C92" s="1156" t="s">
        <v>1568</v>
      </c>
      <c r="D92" s="1070" t="s">
        <v>1569</v>
      </c>
      <c r="E92" s="1141">
        <v>0.2</v>
      </c>
      <c r="F92" s="1156">
        <v>30</v>
      </c>
    </row>
    <row r="93" spans="1:6" s="1107" customFormat="1" ht="36">
      <c r="A93" s="1156">
        <v>33</v>
      </c>
      <c r="B93" s="3423"/>
      <c r="C93" s="1156" t="s">
        <v>1570</v>
      </c>
      <c r="D93" s="1070" t="s">
        <v>1571</v>
      </c>
      <c r="E93" s="1141">
        <v>0.2</v>
      </c>
      <c r="F93" s="1156">
        <v>30</v>
      </c>
    </row>
    <row r="94" spans="1:6" s="1107" customFormat="1" ht="48">
      <c r="A94" s="1156">
        <v>34</v>
      </c>
      <c r="B94" s="3423"/>
      <c r="C94" s="1156" t="s">
        <v>1572</v>
      </c>
      <c r="D94" s="1070" t="s">
        <v>1573</v>
      </c>
      <c r="E94" s="1141">
        <v>0.2</v>
      </c>
      <c r="F94" s="1156">
        <v>30</v>
      </c>
    </row>
    <row r="95" spans="1:6" s="1107" customFormat="1" ht="36">
      <c r="A95" s="1156">
        <v>35</v>
      </c>
      <c r="B95" s="3423"/>
      <c r="C95" s="1156" t="s">
        <v>1574</v>
      </c>
      <c r="D95" s="1070" t="s">
        <v>1575</v>
      </c>
      <c r="E95" s="1141">
        <v>0.2</v>
      </c>
      <c r="F95" s="1156">
        <v>30</v>
      </c>
    </row>
    <row r="96" spans="1:6" s="1107" customFormat="1" ht="48">
      <c r="A96" s="1156">
        <v>36</v>
      </c>
      <c r="B96" s="3423"/>
      <c r="C96" s="1070" t="s">
        <v>1576</v>
      </c>
      <c r="D96" s="1070" t="s">
        <v>1577</v>
      </c>
      <c r="E96" s="1141">
        <v>0.2</v>
      </c>
      <c r="F96" s="1156">
        <v>30</v>
      </c>
    </row>
    <row r="97" spans="1:6" s="1107" customFormat="1" ht="36">
      <c r="A97" s="1156">
        <v>37</v>
      </c>
      <c r="B97" s="3423"/>
      <c r="C97" s="1156" t="s">
        <v>1578</v>
      </c>
      <c r="D97" s="1070" t="s">
        <v>1579</v>
      </c>
      <c r="E97" s="1141">
        <v>0.2</v>
      </c>
      <c r="F97" s="1156">
        <v>30</v>
      </c>
    </row>
    <row r="98" spans="1:6" s="1107" customFormat="1" ht="36">
      <c r="A98" s="1156">
        <v>38</v>
      </c>
      <c r="B98" s="3423"/>
      <c r="C98" s="1156" t="s">
        <v>1580</v>
      </c>
      <c r="D98" s="1070" t="s">
        <v>1581</v>
      </c>
      <c r="E98" s="1141">
        <v>0.2</v>
      </c>
      <c r="F98" s="1156">
        <v>30</v>
      </c>
    </row>
    <row r="99" spans="1:6" s="1107" customFormat="1" ht="36">
      <c r="A99" s="1156">
        <v>39</v>
      </c>
      <c r="B99" s="3423" t="s">
        <v>1582</v>
      </c>
      <c r="C99" s="1156" t="s">
        <v>1583</v>
      </c>
      <c r="D99" s="1070" t="s">
        <v>1584</v>
      </c>
      <c r="E99" s="1141">
        <v>0.3</v>
      </c>
      <c r="F99" s="1156">
        <v>50</v>
      </c>
    </row>
    <row r="100" spans="1:6" s="1107" customFormat="1" ht="24">
      <c r="A100" s="1156">
        <v>40</v>
      </c>
      <c r="B100" s="3423"/>
      <c r="C100" s="1156" t="s">
        <v>1585</v>
      </c>
      <c r="D100" s="1070" t="s">
        <v>1586</v>
      </c>
      <c r="E100" s="1141">
        <v>0.2</v>
      </c>
      <c r="F100" s="1156">
        <v>30</v>
      </c>
    </row>
    <row r="101" spans="1:6" s="1107" customFormat="1" ht="36">
      <c r="A101" s="1156">
        <v>41</v>
      </c>
      <c r="B101" s="3423"/>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23" t="s">
        <v>1597</v>
      </c>
      <c r="C105" s="1156" t="s">
        <v>1598</v>
      </c>
      <c r="D105" s="1070" t="s">
        <v>1599</v>
      </c>
      <c r="E105" s="1141">
        <v>0.2</v>
      </c>
      <c r="F105" s="1156">
        <v>30</v>
      </c>
    </row>
    <row r="106" spans="1:6" s="1107" customFormat="1" ht="36">
      <c r="A106" s="1156">
        <v>46</v>
      </c>
      <c r="B106" s="3423"/>
      <c r="C106" s="1156" t="s">
        <v>1600</v>
      </c>
      <c r="D106" s="1070" t="s">
        <v>1601</v>
      </c>
      <c r="E106" s="1141">
        <v>0.2</v>
      </c>
      <c r="F106" s="1156">
        <v>30</v>
      </c>
    </row>
    <row r="107" spans="1:6" s="1107" customFormat="1" ht="36">
      <c r="A107" s="1156">
        <v>47</v>
      </c>
      <c r="B107" s="3423" t="s">
        <v>1602</v>
      </c>
      <c r="C107" s="1156" t="s">
        <v>1603</v>
      </c>
      <c r="D107" s="1070" t="s">
        <v>1604</v>
      </c>
      <c r="E107" s="1141">
        <v>0.3</v>
      </c>
      <c r="F107" s="1156">
        <v>50</v>
      </c>
    </row>
    <row r="108" spans="1:6" s="1107" customFormat="1" ht="36">
      <c r="A108" s="1156">
        <v>48</v>
      </c>
      <c r="B108" s="3423"/>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23" t="s">
        <v>1613</v>
      </c>
      <c r="C111" s="1156" t="s">
        <v>1614</v>
      </c>
      <c r="D111" s="1070" t="s">
        <v>1615</v>
      </c>
      <c r="E111" s="1141">
        <v>0.2</v>
      </c>
      <c r="F111" s="1156">
        <v>30</v>
      </c>
    </row>
    <row r="112" spans="1:6" s="1107" customFormat="1" ht="24">
      <c r="A112" s="1156">
        <v>52</v>
      </c>
      <c r="B112" s="3423"/>
      <c r="C112" s="1156" t="s">
        <v>1616</v>
      </c>
      <c r="D112" s="1070" t="s">
        <v>1617</v>
      </c>
      <c r="E112" s="1141">
        <v>0.2</v>
      </c>
      <c r="F112" s="1156">
        <v>30</v>
      </c>
    </row>
    <row r="113" spans="1:14" s="1107" customFormat="1" ht="24">
      <c r="A113" s="1156">
        <v>53</v>
      </c>
      <c r="B113" s="3423"/>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23" t="s">
        <v>1626</v>
      </c>
      <c r="C116" s="1156" t="s">
        <v>1627</v>
      </c>
      <c r="D116" s="1070" t="s">
        <v>1628</v>
      </c>
      <c r="E116" s="1141">
        <v>0.2</v>
      </c>
      <c r="F116" s="1156">
        <v>30</v>
      </c>
    </row>
    <row r="117" spans="1:14" ht="36">
      <c r="A117" s="1156">
        <v>57</v>
      </c>
      <c r="B117" s="3423"/>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22" t="s">
        <v>1635</v>
      </c>
      <c r="B121" s="3422"/>
      <c r="C121" s="3422"/>
      <c r="D121" s="3422"/>
      <c r="E121" s="3422"/>
      <c r="F121" s="3422"/>
      <c r="G121" s="3422"/>
      <c r="H121" s="3422"/>
      <c r="I121" s="3422"/>
      <c r="J121" s="3422"/>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7" t="s">
        <v>1041</v>
      </c>
      <c r="B1" s="3427"/>
      <c r="C1" s="3427"/>
      <c r="D1" s="3427"/>
      <c r="E1" s="3427"/>
      <c r="F1" s="3427"/>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28" t="s">
        <v>1054</v>
      </c>
      <c r="B2" s="3428"/>
      <c r="C2" s="3428"/>
      <c r="D2" s="3428"/>
      <c r="E2" s="3428"/>
      <c r="F2" s="3428"/>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29"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30"/>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2424</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2425</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1" t="s">
        <v>2080</v>
      </c>
      <c r="B1" s="3431"/>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2959</v>
      </c>
      <c r="B1" s="3139"/>
      <c r="C1" s="3139"/>
      <c r="D1" s="3139"/>
      <c r="E1" s="3139"/>
      <c r="F1" s="3139"/>
    </row>
    <row r="2" spans="1:6" ht="14.25">
      <c r="A2" s="3140" t="s">
        <v>2953</v>
      </c>
      <c r="B2" s="3141" t="e">
        <f ca="1">SUMIF(B7:B14,"&lt;&gt;#ref!",B7:B14)</f>
        <v>#DIV/0!</v>
      </c>
      <c r="C2" s="3140" t="s">
        <v>2954</v>
      </c>
      <c r="D2" s="3139"/>
      <c r="E2" s="3139"/>
      <c r="F2" s="3139"/>
    </row>
    <row r="3" spans="1:6" ht="14.25">
      <c r="A3" s="3140" t="s">
        <v>2956</v>
      </c>
      <c r="B3" s="3141" t="e">
        <f ca="1">ROUND(B2*10000/E3,0)</f>
        <v>#DIV/0!</v>
      </c>
      <c r="C3" s="3140" t="s">
        <v>2079</v>
      </c>
      <c r="D3" s="3140" t="s">
        <v>2955</v>
      </c>
      <c r="E3" s="3141" t="e">
        <f ca="1">SUM(E7:E14)</f>
        <v>#REF!</v>
      </c>
      <c r="F3" s="3139"/>
    </row>
    <row r="4" spans="1:6" ht="14.25">
      <c r="A4" s="3140" t="s">
        <v>2963</v>
      </c>
      <c r="B4" s="3141" t="e">
        <f ca="1">ROUND(B2*10000/E4,0)</f>
        <v>#DIV/0!</v>
      </c>
      <c r="C4" s="3140" t="s">
        <v>2079</v>
      </c>
      <c r="D4" s="3140" t="s">
        <v>2964</v>
      </c>
      <c r="E4" s="3141" t="e">
        <f ca="1">SUM(F7:F14)</f>
        <v>#REF!</v>
      </c>
      <c r="F4" s="3139"/>
    </row>
    <row r="5" spans="1:6" ht="14.25">
      <c r="A5" s="3142"/>
      <c r="B5" s="1885"/>
      <c r="C5" s="1885"/>
      <c r="D5" s="1885"/>
      <c r="E5" s="1885"/>
      <c r="F5" s="3139"/>
    </row>
    <row r="6" spans="1:6" ht="28.5">
      <c r="A6" s="3143" t="s">
        <v>2960</v>
      </c>
      <c r="B6" s="3140" t="s">
        <v>2957</v>
      </c>
      <c r="C6" s="3141"/>
      <c r="D6" s="1885"/>
      <c r="E6" s="3140" t="s">
        <v>2958</v>
      </c>
      <c r="F6" s="3140" t="s">
        <v>2962</v>
      </c>
    </row>
    <row r="7" spans="1:6" ht="14.25">
      <c r="A7" s="259" t="s">
        <v>2961</v>
      </c>
      <c r="B7" s="3144" t="e">
        <f ca="1">SUMIF(INDIRECT("'"&amp;A7&amp;"'"&amp;"!A:A"),"总价",INDIRECT("'"&amp;A7&amp;"'"&amp;"!B:B"))</f>
        <v>#DIV/0!</v>
      </c>
      <c r="C7" s="3140" t="s">
        <v>2954</v>
      </c>
      <c r="D7" s="1885"/>
      <c r="E7" s="3145">
        <f ca="1">SUMIF(INDIRECT("'"&amp;A7&amp;"'"&amp;"!C:C"),"建筑面积",INDIRECT("'"&amp;A7&amp;"'"&amp;"!D:D"))</f>
        <v>0</v>
      </c>
      <c r="F7" s="3145">
        <f ca="1">SUMIF(INDIRECT("'"&amp;A7&amp;"'"&amp;"!E:E"),"土地面积",INDIRECT("'"&amp;A7&amp;"'"&amp;"!F:F"))</f>
        <v>0</v>
      </c>
    </row>
    <row r="8" spans="1:6" ht="14.25">
      <c r="A8" s="259"/>
      <c r="B8" s="3144" t="e">
        <f t="shared" ref="B8:B14" ca="1" si="0">SUMIF(INDIRECT("'"&amp;A8&amp;"'"&amp;"!A:A"),"总价",INDIRECT("'"&amp;A8&amp;"'"&amp;"!B:B"))</f>
        <v>#REF!</v>
      </c>
      <c r="C8" s="3140" t="s">
        <v>2954</v>
      </c>
      <c r="D8" s="1885"/>
      <c r="E8" s="3145" t="e">
        <f t="shared" ref="E8:E14" ca="1" si="1">SUMIF(INDIRECT("'"&amp;A8&amp;"'"&amp;"!C:C"),"建筑面积",INDIRECT("'"&amp;A8&amp;"'"&amp;"!D:D"))</f>
        <v>#REF!</v>
      </c>
      <c r="F8" s="3145" t="e">
        <f t="shared" ref="F8:F14" ca="1" si="2">SUMIF(INDIRECT("'"&amp;A8&amp;"'"&amp;"!E:E"),"土地面积",INDIRECT("'"&amp;A8&amp;"'"&amp;"!F:F"))</f>
        <v>#REF!</v>
      </c>
    </row>
    <row r="9" spans="1:6" ht="14.25">
      <c r="A9" s="259"/>
      <c r="B9" s="3144" t="e">
        <f t="shared" ca="1" si="0"/>
        <v>#REF!</v>
      </c>
      <c r="C9" s="3140" t="s">
        <v>2954</v>
      </c>
      <c r="D9" s="1885"/>
      <c r="E9" s="3145" t="e">
        <f t="shared" ca="1" si="1"/>
        <v>#REF!</v>
      </c>
      <c r="F9" s="3145" t="e">
        <f t="shared" ca="1" si="2"/>
        <v>#REF!</v>
      </c>
    </row>
    <row r="10" spans="1:6" ht="14.25">
      <c r="A10" s="259"/>
      <c r="B10" s="3144" t="e">
        <f t="shared" ca="1" si="0"/>
        <v>#REF!</v>
      </c>
      <c r="C10" s="3140" t="s">
        <v>2954</v>
      </c>
      <c r="D10" s="1885"/>
      <c r="E10" s="3145" t="e">
        <f t="shared" ca="1" si="1"/>
        <v>#REF!</v>
      </c>
      <c r="F10" s="3145" t="e">
        <f t="shared" ca="1" si="2"/>
        <v>#REF!</v>
      </c>
    </row>
    <row r="11" spans="1:6" ht="14.25">
      <c r="A11" s="259"/>
      <c r="B11" s="3144" t="e">
        <f t="shared" ca="1" si="0"/>
        <v>#REF!</v>
      </c>
      <c r="C11" s="3140" t="s">
        <v>2954</v>
      </c>
      <c r="D11" s="1885"/>
      <c r="E11" s="3145" t="e">
        <f t="shared" ca="1" si="1"/>
        <v>#REF!</v>
      </c>
      <c r="F11" s="3145" t="e">
        <f t="shared" ca="1" si="2"/>
        <v>#REF!</v>
      </c>
    </row>
    <row r="12" spans="1:6" ht="14.25">
      <c r="A12" s="259"/>
      <c r="B12" s="3144" t="e">
        <f t="shared" ca="1" si="0"/>
        <v>#REF!</v>
      </c>
      <c r="C12" s="3140" t="s">
        <v>2954</v>
      </c>
      <c r="D12" s="1885"/>
      <c r="E12" s="3145" t="e">
        <f t="shared" ca="1" si="1"/>
        <v>#REF!</v>
      </c>
      <c r="F12" s="3145" t="e">
        <f t="shared" ca="1" si="2"/>
        <v>#REF!</v>
      </c>
    </row>
    <row r="13" spans="1:6" ht="14.25">
      <c r="A13" s="259"/>
      <c r="B13" s="3144" t="e">
        <f t="shared" ca="1" si="0"/>
        <v>#REF!</v>
      </c>
      <c r="C13" s="3140" t="s">
        <v>2954</v>
      </c>
      <c r="D13" s="1885"/>
      <c r="E13" s="3145" t="e">
        <f t="shared" ca="1" si="1"/>
        <v>#REF!</v>
      </c>
      <c r="F13" s="3145" t="e">
        <f t="shared" ca="1" si="2"/>
        <v>#REF!</v>
      </c>
    </row>
    <row r="14" spans="1:6" ht="14.25">
      <c r="A14" s="3138"/>
      <c r="B14" s="3144" t="e">
        <f t="shared" ca="1" si="0"/>
        <v>#REF!</v>
      </c>
      <c r="C14" s="3140" t="s">
        <v>2954</v>
      </c>
      <c r="D14" s="1885"/>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4" t="s">
        <v>629</v>
      </c>
      <c r="B1" s="740"/>
      <c r="C1" s="775"/>
      <c r="D1" s="2054"/>
      <c r="E1" s="2415" t="s">
        <v>2376</v>
      </c>
      <c r="F1" s="2416">
        <f ca="1">J54</f>
        <v>0</v>
      </c>
      <c r="G1" s="776">
        <f>MATCH(C1,'数据-取费表'!A6:A16,0)+5</f>
        <v>9</v>
      </c>
      <c r="H1" s="1352"/>
      <c r="I1" s="2055"/>
      <c r="J1" s="2055"/>
      <c r="K1" s="2056"/>
      <c r="L1" s="2055"/>
      <c r="M1" s="2055"/>
      <c r="N1" s="2057"/>
      <c r="O1" s="2057"/>
      <c r="P1" s="2057"/>
      <c r="Q1" s="2057"/>
      <c r="R1" s="2057"/>
      <c r="S1" s="2057"/>
      <c r="T1" s="2057"/>
      <c r="U1" s="2057"/>
      <c r="V1" s="2057"/>
      <c r="W1" s="2057"/>
      <c r="X1" s="2057"/>
      <c r="Y1" s="2057"/>
    </row>
    <row r="2" spans="1:25" ht="18" customHeight="1">
      <c r="A2" s="1647" t="s">
        <v>630</v>
      </c>
      <c r="B2" s="777">
        <f ca="1">IF(ISERROR(C45+J31),0,C45+J31)</f>
        <v>0</v>
      </c>
      <c r="C2" s="1353"/>
      <c r="D2" s="2059"/>
      <c r="E2" s="2060"/>
      <c r="F2" s="2060"/>
      <c r="G2" s="1593"/>
      <c r="H2" s="1365"/>
      <c r="I2" s="2061"/>
      <c r="J2" s="2061"/>
      <c r="K2" s="2062"/>
      <c r="L2" s="2061"/>
      <c r="M2" s="2061"/>
    </row>
    <row r="3" spans="1:25" ht="18" customHeight="1">
      <c r="A3" s="1648" t="s">
        <v>1685</v>
      </c>
      <c r="B3" s="1394">
        <f ca="1">ROUND(B2*10000/'数据-汇总表'!E3,0)</f>
        <v>0</v>
      </c>
      <c r="C3" s="1353"/>
      <c r="D3" s="2059"/>
      <c r="E3" s="2060"/>
      <c r="F3" s="2060"/>
      <c r="G3" s="1593"/>
      <c r="H3" s="778" t="s">
        <v>696</v>
      </c>
      <c r="I3" s="2061"/>
      <c r="J3" s="2061"/>
      <c r="K3" s="2062"/>
      <c r="L3" s="2061"/>
      <c r="M3" s="2061"/>
    </row>
    <row r="4" spans="1:25" ht="18" customHeight="1">
      <c r="A4" s="1649" t="s">
        <v>697</v>
      </c>
      <c r="B4" s="1354">
        <f ca="1">ROUND(B2*10000/'数据-汇总表'!D3,0)</f>
        <v>0</v>
      </c>
      <c r="C4" s="430"/>
      <c r="D4" s="2059"/>
      <c r="E4" s="2060"/>
      <c r="F4" s="2060"/>
      <c r="G4" s="1593"/>
      <c r="H4" s="778"/>
      <c r="I4" s="2061"/>
      <c r="J4" s="2061"/>
      <c r="K4" s="2062"/>
      <c r="L4" s="2061"/>
      <c r="M4" s="2061"/>
    </row>
    <row r="5" spans="1:25" ht="18" customHeight="1" thickBot="1">
      <c r="A5" s="1650"/>
      <c r="B5" s="432">
        <f ca="1">ROUND(B2/('数据-汇总表'!D3/666.67),0)</f>
        <v>0</v>
      </c>
      <c r="C5" s="433" t="s">
        <v>698</v>
      </c>
      <c r="D5" s="2059"/>
      <c r="E5" s="2060"/>
      <c r="F5" s="2060"/>
      <c r="G5" s="1593"/>
      <c r="H5" s="778"/>
      <c r="I5" s="2061"/>
      <c r="J5" s="2061"/>
      <c r="K5" s="2062"/>
      <c r="L5" s="2061"/>
      <c r="M5" s="2061"/>
    </row>
    <row r="6" spans="1:25" ht="18" customHeight="1">
      <c r="A6" s="1832" t="s">
        <v>699</v>
      </c>
      <c r="B6" s="1824" t="s">
        <v>700</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2461</v>
      </c>
      <c r="C7" s="53">
        <f ca="1">C8+C12+C14</f>
        <v>0</v>
      </c>
      <c r="D7" s="2524" t="s">
        <v>2464</v>
      </c>
      <c r="E7" s="2518"/>
      <c r="F7" s="2519"/>
      <c r="G7" s="1595"/>
      <c r="H7" s="783">
        <v>1</v>
      </c>
      <c r="I7" s="784" t="s">
        <v>2461</v>
      </c>
      <c r="J7" s="53">
        <f ca="1">J8+J12+J14</f>
        <v>0</v>
      </c>
      <c r="K7" s="2524" t="s">
        <v>2464</v>
      </c>
      <c r="L7" s="2518"/>
      <c r="M7" s="2519"/>
    </row>
    <row r="8" spans="1:25" ht="18" customHeight="1">
      <c r="A8" s="1834" t="s">
        <v>1823</v>
      </c>
      <c r="B8" s="3433" t="s">
        <v>2466</v>
      </c>
      <c r="C8" s="1829">
        <f ca="1">ROUND(F8*F10*F9*(1-F11)/10000,0)</f>
        <v>0</v>
      </c>
      <c r="D8" s="1826" t="s">
        <v>2538</v>
      </c>
      <c r="E8" s="61" t="s">
        <v>638</v>
      </c>
      <c r="F8" s="787">
        <f ca="1">INDIRECT("'数据-取费表'!u"&amp;$G$1)</f>
        <v>0</v>
      </c>
      <c r="G8" s="1595"/>
      <c r="H8" s="2532" t="s">
        <v>1823</v>
      </c>
      <c r="I8" s="3433" t="s">
        <v>2466</v>
      </c>
      <c r="J8" s="785">
        <f ca="1">ROUND(M8*M10*M9*(1-M11)/10000,0)</f>
        <v>0</v>
      </c>
      <c r="K8" s="343" t="s">
        <v>2538</v>
      </c>
      <c r="L8" s="786" t="s">
        <v>1737</v>
      </c>
      <c r="M8" s="787">
        <f ca="1">INDIRECT("'数据-取费表'!z"&amp;$G$1)</f>
        <v>0</v>
      </c>
    </row>
    <row r="9" spans="1:25" ht="18" customHeight="1">
      <c r="A9" s="2528"/>
      <c r="B9" s="3434"/>
      <c r="C9" s="1830"/>
      <c r="D9" s="1827"/>
      <c r="E9" s="61" t="s">
        <v>639</v>
      </c>
      <c r="F9" s="787">
        <f ca="1">IF(INDIRECT("'数据-取费表'!ah"&amp;$G$1)="",INDIRECT("'数据-取费表'!k"&amp;$G$1),INDIRECT("'数据-取费表'!ah"&amp;$G$1))</f>
        <v>0</v>
      </c>
      <c r="G9" s="1595"/>
      <c r="H9" s="2517"/>
      <c r="I9" s="3434"/>
      <c r="J9" s="790"/>
      <c r="K9" s="791"/>
      <c r="L9" s="786" t="s">
        <v>1738</v>
      </c>
      <c r="M9" s="787">
        <f ca="1">F9</f>
        <v>0</v>
      </c>
    </row>
    <row r="10" spans="1:25" ht="18" customHeight="1">
      <c r="A10" s="2521"/>
      <c r="B10" s="3435"/>
      <c r="C10" s="1830"/>
      <c r="D10" s="1827"/>
      <c r="E10" s="61" t="s">
        <v>640</v>
      </c>
      <c r="F10" s="787">
        <f ca="1">INDIRECT("'数据-取费表'!ai"&amp;$G$1)</f>
        <v>0</v>
      </c>
      <c r="G10" s="1595"/>
      <c r="H10" s="2517"/>
      <c r="I10" s="3435"/>
      <c r="J10" s="790"/>
      <c r="K10" s="791"/>
      <c r="L10" s="786" t="s">
        <v>1739</v>
      </c>
      <c r="M10" s="787">
        <f ca="1">INDIRECT("'数据-取费表'!ai"&amp;$G$1)</f>
        <v>0</v>
      </c>
    </row>
    <row r="11" spans="1:25" ht="18" customHeight="1">
      <c r="A11" s="788"/>
      <c r="B11" s="3436"/>
      <c r="C11" s="1830"/>
      <c r="D11" s="1827"/>
      <c r="E11" s="61" t="s">
        <v>641</v>
      </c>
      <c r="F11" s="796">
        <f ca="1">INDIRECT("'数据-取费表'!w"&amp;$G$1)</f>
        <v>0</v>
      </c>
      <c r="G11" s="1595"/>
      <c r="H11" s="2533"/>
      <c r="I11" s="3435"/>
      <c r="J11" s="790"/>
      <c r="K11" s="791"/>
      <c r="L11" s="797" t="s">
        <v>1740</v>
      </c>
      <c r="M11" s="798">
        <f ca="1">INDIRECT("'数据-取费表'!ab"&amp;$G$1)</f>
        <v>0</v>
      </c>
    </row>
    <row r="12" spans="1:25" ht="18" customHeight="1">
      <c r="A12" s="1834" t="s">
        <v>1824</v>
      </c>
      <c r="B12" s="2522" t="s">
        <v>2462</v>
      </c>
      <c r="C12" s="801">
        <f ca="1">ROUND(IF(F12="押一",F8*F10*F9/12*F13,IF(F12="押二",F8*F10*F9/12*2*F13,IF(F12="押三",F8*F10*F9/12*3*F13,C13*F13)))/10000,0)</f>
        <v>0</v>
      </c>
      <c r="D12" s="2529" t="s">
        <v>2469</v>
      </c>
      <c r="E12" s="2526" t="s">
        <v>2467</v>
      </c>
      <c r="F12" s="2649"/>
      <c r="G12" s="1595"/>
      <c r="H12" s="2589" t="s">
        <v>1824</v>
      </c>
      <c r="I12" s="2594" t="s">
        <v>2462</v>
      </c>
      <c r="J12" s="785">
        <f ca="1">ROUND(IF(M12="押一",M8*M10*M9/12*M13,IF(M12="押二",M8*M10*M9/12*2*M13,IF(M12="押三",M8*M10*M9/12*3*M13,J13*M13)))/10000,0)</f>
        <v>0</v>
      </c>
      <c r="K12" s="2529" t="s">
        <v>2469</v>
      </c>
      <c r="L12" s="2526" t="s">
        <v>2467</v>
      </c>
      <c r="M12" s="2649"/>
    </row>
    <row r="13" spans="1:25" ht="18" customHeight="1">
      <c r="A13" s="792"/>
      <c r="B13" s="2523" t="s">
        <v>2577</v>
      </c>
      <c r="C13" s="2527"/>
      <c r="D13" s="791"/>
      <c r="E13" s="2526" t="s">
        <v>2459</v>
      </c>
      <c r="F13" s="798">
        <f ca="1">'数据-取费表'!B39</f>
        <v>1.4999999999999999E-2</v>
      </c>
      <c r="G13" s="1595"/>
      <c r="H13" s="2590"/>
      <c r="I13" s="2523" t="s">
        <v>2577</v>
      </c>
      <c r="J13" s="2527"/>
      <c r="K13" s="2591"/>
      <c r="L13" s="2526" t="s">
        <v>2459</v>
      </c>
      <c r="M13" s="2520">
        <f ca="1">'数据-取费表'!B39</f>
        <v>1.4999999999999999E-2</v>
      </c>
    </row>
    <row r="14" spans="1:25" ht="18" customHeight="1" thickBot="1">
      <c r="A14" s="2565" t="s">
        <v>2471</v>
      </c>
      <c r="B14" s="2566" t="s">
        <v>2463</v>
      </c>
      <c r="C14" s="2567"/>
      <c r="D14" s="2568"/>
      <c r="E14" s="2569"/>
      <c r="F14" s="2570"/>
      <c r="G14" s="1595"/>
      <c r="H14" s="2579" t="s">
        <v>2471</v>
      </c>
      <c r="I14" s="2592" t="s">
        <v>2463</v>
      </c>
      <c r="J14" s="2593"/>
      <c r="K14" s="2568"/>
      <c r="L14" s="2569"/>
      <c r="M14" s="2582"/>
    </row>
    <row r="15" spans="1:25" ht="18" customHeight="1" thickTop="1">
      <c r="A15" s="1833" t="s">
        <v>1873</v>
      </c>
      <c r="B15" s="1831" t="s">
        <v>642</v>
      </c>
      <c r="C15" s="794">
        <f ca="1">ROUND(C31*F15,0)</f>
        <v>0</v>
      </c>
      <c r="D15" s="1838" t="s">
        <v>643</v>
      </c>
      <c r="E15" s="797" t="s">
        <v>644</v>
      </c>
      <c r="F15" s="802">
        <f ca="1">INDIRECT("'数据-取费表'!y"&amp;$G$1)</f>
        <v>0</v>
      </c>
      <c r="G15" s="1595"/>
      <c r="H15" s="1833" t="s">
        <v>1825</v>
      </c>
      <c r="I15" s="1831" t="s">
        <v>645</v>
      </c>
      <c r="J15" s="1823">
        <f ca="1">ROUND(J16*J17,0)</f>
        <v>0</v>
      </c>
      <c r="K15" s="1825" t="s">
        <v>643</v>
      </c>
      <c r="L15" s="803"/>
      <c r="M15" s="804"/>
    </row>
    <row r="16" spans="1:25" ht="18" customHeight="1">
      <c r="A16" s="805" t="s">
        <v>1874</v>
      </c>
      <c r="B16" s="786" t="s">
        <v>646</v>
      </c>
      <c r="C16" s="806">
        <f ca="1">INDIRECT("'数据-取费表'!m"&amp;$G$1)+INDIRECT("'数据-取费表'!t"&amp;$G$1)</f>
        <v>0</v>
      </c>
      <c r="D16" s="1983" t="s">
        <v>647</v>
      </c>
      <c r="E16" s="1984"/>
      <c r="F16" s="807"/>
      <c r="G16" s="1595"/>
      <c r="H16" s="805" t="s">
        <v>2070</v>
      </c>
      <c r="I16" s="2235" t="s">
        <v>2831</v>
      </c>
      <c r="J16" s="53">
        <f ca="1">C31</f>
        <v>0</v>
      </c>
      <c r="K16" s="26"/>
      <c r="L16" s="803"/>
      <c r="M16" s="804"/>
    </row>
    <row r="17" spans="1:25" s="2068" customFormat="1" ht="18" customHeight="1">
      <c r="A17" s="805" t="s">
        <v>1848</v>
      </c>
      <c r="B17" s="786" t="s">
        <v>648</v>
      </c>
      <c r="C17" s="53">
        <f ca="1">ROUND(C16*F17,0)</f>
        <v>0</v>
      </c>
      <c r="D17" s="808" t="s">
        <v>649</v>
      </c>
      <c r="E17" s="808" t="s">
        <v>650</v>
      </c>
      <c r="F17" s="809">
        <f>'数据-取费表'!B33</f>
        <v>0.03</v>
      </c>
      <c r="G17" s="1596"/>
      <c r="H17" s="805" t="s">
        <v>2071</v>
      </c>
      <c r="I17" s="786" t="s">
        <v>644</v>
      </c>
      <c r="J17" s="810">
        <f ca="1">INDIRECT("'数据-取费表'!ad"&amp;$G$1)</f>
        <v>0</v>
      </c>
      <c r="K17" s="26"/>
      <c r="L17" s="803"/>
      <c r="M17" s="804"/>
      <c r="N17" s="2067"/>
      <c r="O17" s="2067"/>
      <c r="P17" s="2067"/>
      <c r="Q17" s="2067"/>
      <c r="R17" s="2067"/>
      <c r="S17" s="2067"/>
      <c r="T17" s="2067"/>
      <c r="U17" s="2067"/>
      <c r="V17" s="2067"/>
      <c r="W17" s="2067"/>
      <c r="X17" s="2067"/>
      <c r="Y17" s="2067"/>
    </row>
    <row r="18" spans="1:25" ht="18" customHeight="1">
      <c r="A18" s="805" t="s">
        <v>1849</v>
      </c>
      <c r="B18" s="786" t="s">
        <v>651</v>
      </c>
      <c r="C18" s="53">
        <f ca="1">ROUND(INDIRECT("'数据-取费表'!m"&amp;$G$1)*F18,0)</f>
        <v>0</v>
      </c>
      <c r="D18" s="786" t="s">
        <v>649</v>
      </c>
      <c r="E18" s="786" t="s">
        <v>650</v>
      </c>
      <c r="F18" s="811">
        <f ca="1">IF(INDIRECT("'数据-取费表'!c"&amp;$G$1)="住宅",'数据-取费表'!B34,0)</f>
        <v>0</v>
      </c>
      <c r="G18" s="1595"/>
      <c r="H18" s="799" t="s">
        <v>1826</v>
      </c>
      <c r="I18" s="800" t="s">
        <v>652</v>
      </c>
      <c r="J18" s="801">
        <f ca="1">ROUND(J19+J24+J25+J26,0)</f>
        <v>0</v>
      </c>
      <c r="K18" s="26" t="s">
        <v>653</v>
      </c>
      <c r="L18" s="1986"/>
      <c r="M18" s="56"/>
    </row>
    <row r="19" spans="1:25" s="2068" customFormat="1" ht="18" customHeight="1">
      <c r="A19" s="805" t="s">
        <v>1850</v>
      </c>
      <c r="B19" s="786" t="s">
        <v>654</v>
      </c>
      <c r="C19" s="53">
        <f ca="1">ROUND(F19*(INDIRECT("'数据-取费表'!k"&amp;$G$1)+INDIRECT("'数据-取费表'!S"&amp;$G$1))/10000,0)</f>
        <v>0</v>
      </c>
      <c r="D19" s="786" t="s">
        <v>655</v>
      </c>
      <c r="E19" s="786" t="s">
        <v>656</v>
      </c>
      <c r="F19" s="56">
        <f>'数据-取费表'!B35</f>
        <v>200</v>
      </c>
      <c r="G19" s="1596"/>
      <c r="H19" s="805" t="s">
        <v>2070</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5" t="s">
        <v>1851</v>
      </c>
      <c r="B20" s="786" t="s">
        <v>660</v>
      </c>
      <c r="C20" s="53">
        <f ca="1">ROUND(C16*F20,0)</f>
        <v>0</v>
      </c>
      <c r="D20" s="786" t="s">
        <v>649</v>
      </c>
      <c r="E20" s="786" t="s">
        <v>650</v>
      </c>
      <c r="F20" s="811">
        <f>'数据-取费表'!B36</f>
        <v>1.4999999999999999E-2</v>
      </c>
      <c r="G20" s="1596"/>
      <c r="H20" s="805" t="s">
        <v>1830</v>
      </c>
      <c r="I20" s="786" t="s">
        <v>661</v>
      </c>
      <c r="J20" s="53">
        <f ca="1">ROUND(J7*M20/1.05,1)</f>
        <v>0</v>
      </c>
      <c r="K20" s="1981" t="s">
        <v>662</v>
      </c>
      <c r="L20" s="786" t="s">
        <v>650</v>
      </c>
      <c r="M20" s="811">
        <f>'数据-取费表'!B41</f>
        <v>5.5000000000000007E-2</v>
      </c>
      <c r="N20" s="2067"/>
      <c r="O20" s="2067"/>
      <c r="P20" s="2067"/>
      <c r="Q20" s="2067"/>
      <c r="R20" s="2067"/>
      <c r="S20" s="2067"/>
      <c r="T20" s="2067"/>
      <c r="U20" s="2067"/>
      <c r="V20" s="2067"/>
      <c r="W20" s="2067"/>
      <c r="X20" s="2067"/>
      <c r="Y20" s="2067"/>
    </row>
    <row r="21" spans="1:25" ht="18" customHeight="1">
      <c r="A21" s="805" t="s">
        <v>1875</v>
      </c>
      <c r="B21" s="786" t="s">
        <v>663</v>
      </c>
      <c r="C21" s="53">
        <f ca="1">SUM(C16:C20)</f>
        <v>0</v>
      </c>
      <c r="D21" s="260" t="s">
        <v>664</v>
      </c>
      <c r="E21" s="1986"/>
      <c r="F21" s="56"/>
      <c r="G21" s="1595"/>
      <c r="H21" s="1834" t="s">
        <v>1848</v>
      </c>
      <c r="I21" s="786" t="s">
        <v>665</v>
      </c>
      <c r="J21" s="53">
        <f ca="1">IF(K21="按租金收入计税",ROUND(J7*M21,1),ROUND(C31*F35*0.7,1))</f>
        <v>0</v>
      </c>
      <c r="K21" s="813" t="s">
        <v>666</v>
      </c>
      <c r="L21" s="786" t="s">
        <v>650</v>
      </c>
      <c r="M21" s="811">
        <f>IF(K21="按租金收入计税",'数据-取费表'!B51,'数据-取费表'!B50)</f>
        <v>1.2E-2</v>
      </c>
    </row>
    <row r="22" spans="1:25" s="2068" customFormat="1" ht="18" customHeight="1">
      <c r="A22" s="805" t="s">
        <v>1876</v>
      </c>
      <c r="B22" s="786" t="s">
        <v>667</v>
      </c>
      <c r="C22" s="53">
        <f ca="1">ROUND(C21*F22,0)</f>
        <v>0</v>
      </c>
      <c r="D22" s="814" t="s">
        <v>668</v>
      </c>
      <c r="E22" s="786" t="s">
        <v>650</v>
      </c>
      <c r="F22" s="811">
        <f>'数据-取费表'!B37</f>
        <v>0.02</v>
      </c>
      <c r="G22" s="1596"/>
      <c r="H22" s="1836" t="s">
        <v>1849</v>
      </c>
      <c r="I22" s="1826" t="s">
        <v>669</v>
      </c>
      <c r="J22" s="54">
        <f ca="1">ROUND(M22*M23/10000,0)</f>
        <v>0</v>
      </c>
      <c r="K22" s="816" t="s">
        <v>670</v>
      </c>
      <c r="L22" s="786" t="s">
        <v>671</v>
      </c>
      <c r="M22" s="642">
        <f>'数据-取费表'!B52</f>
        <v>1.5</v>
      </c>
      <c r="N22" s="2067"/>
      <c r="O22" s="2067"/>
      <c r="P22" s="2067"/>
      <c r="Q22" s="2067"/>
      <c r="R22" s="2067"/>
      <c r="S22" s="2067"/>
      <c r="T22" s="2067"/>
      <c r="U22" s="2067"/>
      <c r="V22" s="2067"/>
      <c r="W22" s="2067"/>
      <c r="X22" s="2067"/>
      <c r="Y22" s="2067"/>
    </row>
    <row r="23" spans="1:25" s="2068" customFormat="1" ht="18" customHeight="1">
      <c r="A23" s="805" t="s">
        <v>1877</v>
      </c>
      <c r="B23" s="786" t="s">
        <v>672</v>
      </c>
      <c r="C23" s="53" t="s">
        <v>1</v>
      </c>
      <c r="D23" s="814" t="s">
        <v>673</v>
      </c>
      <c r="E23" s="786" t="s">
        <v>674</v>
      </c>
      <c r="F23" s="811">
        <f>'数据-取费表'!B38</f>
        <v>0.02</v>
      </c>
      <c r="G23" s="1596"/>
      <c r="H23" s="1837"/>
      <c r="I23" s="1828"/>
      <c r="J23" s="69"/>
      <c r="K23" s="818"/>
      <c r="L23" s="786" t="s">
        <v>675</v>
      </c>
      <c r="M23" s="787">
        <f ca="1">INDIRECT("'数据-取费表'!r"&amp;$G$1)</f>
        <v>0</v>
      </c>
      <c r="N23" s="2067"/>
      <c r="O23" s="2067"/>
      <c r="P23" s="2067"/>
      <c r="Q23" s="2067"/>
      <c r="R23" s="2067"/>
      <c r="S23" s="2067"/>
      <c r="T23" s="2067"/>
      <c r="U23" s="2067"/>
      <c r="V23" s="2067"/>
      <c r="W23" s="2067"/>
      <c r="X23" s="2067"/>
      <c r="Y23" s="2067"/>
    </row>
    <row r="24" spans="1:25" ht="18" customHeight="1">
      <c r="A24" s="805" t="s">
        <v>1878</v>
      </c>
      <c r="B24" s="786" t="s">
        <v>676</v>
      </c>
      <c r="C24" s="53"/>
      <c r="D24" s="2600" t="str">
        <f>IF(F25&lt;=1,"单利计息。","复利计息。")&amp;"建造成本、管理费用、销售费用产生的利息。"</f>
        <v>复利计息。建造成本、管理费用、销售费用产生的利息。</v>
      </c>
      <c r="E24" s="1986"/>
      <c r="F24" s="56"/>
      <c r="G24" s="1595"/>
      <c r="H24" s="1835" t="s">
        <v>2071</v>
      </c>
      <c r="I24" s="786" t="s">
        <v>677</v>
      </c>
      <c r="J24" s="53">
        <f ca="1">ROUND(J16*M24,0)</f>
        <v>0</v>
      </c>
      <c r="K24" s="1981" t="s">
        <v>678</v>
      </c>
      <c r="L24" s="786" t="s">
        <v>650</v>
      </c>
      <c r="M24" s="819">
        <f ca="1">INDIRECT("'数据-取费表'!Ak"&amp;$G$1)</f>
        <v>0</v>
      </c>
    </row>
    <row r="25" spans="1:25" s="2068" customFormat="1" ht="18" customHeight="1">
      <c r="A25" s="805" t="s">
        <v>1874</v>
      </c>
      <c r="B25" s="786" t="s">
        <v>2439</v>
      </c>
      <c r="C25" s="53">
        <f ca="1">ROUND(IF('数据-取费表'!B22&lt;=1,(C21+C22)*F26*F25/2,(C21+C22)*(POWER((1+F26),F25/2)-1)),0)</f>
        <v>0</v>
      </c>
      <c r="D25" s="2599" t="str">
        <f>IF(F25&lt;=1,"(建造成本+管理费用)×利率×(建设周期÷2)","(建造成本+管理费用)×((1+利率)^(建设周期÷2)-1)")</f>
        <v>(建造成本+管理费用)×((1+利率)^(建设周期÷2)-1)</v>
      </c>
      <c r="E25" s="786" t="s">
        <v>679</v>
      </c>
      <c r="F25" s="642">
        <f>'数据-取费表'!B20</f>
        <v>2</v>
      </c>
      <c r="G25" s="1596"/>
      <c r="H25" s="805" t="s">
        <v>1877</v>
      </c>
      <c r="I25" s="786" t="s">
        <v>680</v>
      </c>
      <c r="J25" s="53">
        <f ca="1">ROUND(J15*M25,0)</f>
        <v>0</v>
      </c>
      <c r="K25" s="1981" t="s">
        <v>681</v>
      </c>
      <c r="L25" s="786" t="s">
        <v>650</v>
      </c>
      <c r="M25" s="820">
        <f ca="1">INDIRECT("'数据-取费表'!Al"&amp;$G$1)</f>
        <v>0</v>
      </c>
      <c r="N25" s="2067"/>
      <c r="O25" s="2067"/>
      <c r="P25" s="2067"/>
      <c r="Q25" s="2067"/>
      <c r="R25" s="2067"/>
      <c r="S25" s="2067"/>
      <c r="T25" s="2067"/>
      <c r="U25" s="2067"/>
      <c r="V25" s="2067"/>
      <c r="W25" s="2067"/>
      <c r="X25" s="2067"/>
      <c r="Y25" s="2067"/>
    </row>
    <row r="26" spans="1:25" s="2068" customFormat="1" ht="18" customHeight="1">
      <c r="A26" s="805" t="s">
        <v>1848</v>
      </c>
      <c r="B26" s="786" t="s">
        <v>682</v>
      </c>
      <c r="C26" s="53">
        <f ca="1">ROUND(IF('数据-取费表'!B22&lt;=1,F23*F26*F25/2,F23*(POWER((1+F26),F25/2)-1)),4)</f>
        <v>1E-3</v>
      </c>
      <c r="D26" s="2599" t="str">
        <f>IF(F25&lt;=1,"销售费用×利率×(建设周期÷2)","销售费用×((1+利率)^(建设周期÷2)-1)")</f>
        <v>销售费用×((1+利率)^(建设周期÷2)-1)</v>
      </c>
      <c r="E26" s="786" t="s">
        <v>683</v>
      </c>
      <c r="F26" s="821">
        <f ca="1">'数据-取费表'!B40</f>
        <v>4.7500000000000001E-2</v>
      </c>
      <c r="G26" s="1596"/>
      <c r="H26" s="805" t="s">
        <v>1878</v>
      </c>
      <c r="I26" s="786" t="s">
        <v>667</v>
      </c>
      <c r="J26" s="53">
        <f ca="1">ROUND(J7*M26,0)</f>
        <v>0</v>
      </c>
      <c r="K26" s="1981" t="s">
        <v>684</v>
      </c>
      <c r="L26" s="786" t="s">
        <v>650</v>
      </c>
      <c r="M26" s="796">
        <f ca="1">INDIRECT("'数据-取费表'!Am"&amp;$G$1)</f>
        <v>0</v>
      </c>
      <c r="N26" s="2067"/>
      <c r="O26" s="2067"/>
      <c r="P26" s="2067"/>
      <c r="Q26" s="2067"/>
      <c r="R26" s="2067"/>
      <c r="S26" s="2067"/>
      <c r="T26" s="2067"/>
      <c r="U26" s="2067"/>
      <c r="V26" s="2067"/>
      <c r="W26" s="2067"/>
      <c r="X26" s="2067"/>
      <c r="Y26" s="2067"/>
    </row>
    <row r="27" spans="1:25" ht="18" customHeight="1">
      <c r="A27" s="805" t="s">
        <v>1880</v>
      </c>
      <c r="B27" s="786" t="s">
        <v>685</v>
      </c>
      <c r="C27" s="53"/>
      <c r="D27" s="260" t="s">
        <v>686</v>
      </c>
      <c r="E27" s="1986"/>
      <c r="F27" s="56"/>
      <c r="G27" s="1595"/>
      <c r="H27" s="799" t="s">
        <v>1827</v>
      </c>
      <c r="I27" s="3041" t="s">
        <v>2828</v>
      </c>
      <c r="J27" s="801">
        <f ca="1">J7-J18</f>
        <v>0</v>
      </c>
      <c r="K27" s="1983" t="s">
        <v>701</v>
      </c>
      <c r="L27" s="1985"/>
      <c r="M27" s="822"/>
    </row>
    <row r="28" spans="1:25" ht="18" customHeight="1">
      <c r="A28" s="805" t="s">
        <v>1874</v>
      </c>
      <c r="B28" s="786" t="s">
        <v>2440</v>
      </c>
      <c r="C28" s="53">
        <f ca="1">ROUND((C21+C22)*F28,0)</f>
        <v>0</v>
      </c>
      <c r="D28" s="814" t="s">
        <v>702</v>
      </c>
      <c r="E28" s="797" t="s">
        <v>703</v>
      </c>
      <c r="F28" s="796">
        <f ca="1">INDIRECT("'数据-取费表'!q"&amp;$G$1)</f>
        <v>0</v>
      </c>
      <c r="G28" s="1595"/>
      <c r="H28" s="783" t="s">
        <v>1836</v>
      </c>
      <c r="I28" s="784" t="s">
        <v>704</v>
      </c>
      <c r="J28" s="785">
        <f ca="1">IF(J7&lt;&gt;0,ROUND(J27*(1-((1+M30)/(1+M28))^M29)/(M28-M30),0),0)</f>
        <v>0</v>
      </c>
      <c r="K28" s="816" t="s">
        <v>705</v>
      </c>
      <c r="L28" s="786" t="s">
        <v>706</v>
      </c>
      <c r="M28" s="796">
        <f ca="1">INDIRECT("'数据-取费表'!I"&amp;$G$1)</f>
        <v>0</v>
      </c>
    </row>
    <row r="29" spans="1:25" ht="18" customHeight="1">
      <c r="A29" s="805" t="s">
        <v>1848</v>
      </c>
      <c r="B29" s="786" t="s">
        <v>687</v>
      </c>
      <c r="C29" s="53">
        <f ca="1">ROUND(F23*F28,4)</f>
        <v>0</v>
      </c>
      <c r="D29" s="814" t="s">
        <v>707</v>
      </c>
      <c r="E29" s="808"/>
      <c r="F29" s="809"/>
      <c r="G29" s="1595"/>
      <c r="H29" s="788"/>
      <c r="I29" s="789"/>
      <c r="J29" s="790"/>
      <c r="K29" s="823" t="s">
        <v>708</v>
      </c>
      <c r="L29" s="786" t="s">
        <v>709</v>
      </c>
      <c r="M29" s="824">
        <f ca="1">INDIRECT("'数据-取费表'!ag"&amp;$G$1)</f>
        <v>0</v>
      </c>
    </row>
    <row r="30" spans="1:25" s="2068" customFormat="1" ht="18" customHeight="1">
      <c r="A30" s="805" t="s">
        <v>1881</v>
      </c>
      <c r="B30" s="786" t="s">
        <v>688</v>
      </c>
      <c r="C30" s="53">
        <f>ROUND(F30/(1+'数据-取费表'!C42),4)</f>
        <v>5.2400000000000002E-2</v>
      </c>
      <c r="D30" s="814" t="s">
        <v>710</v>
      </c>
      <c r="E30" s="786" t="s">
        <v>650</v>
      </c>
      <c r="F30" s="811">
        <f>'数据-取费表'!B41</f>
        <v>5.5000000000000007E-2</v>
      </c>
      <c r="G30" s="1596"/>
      <c r="H30" s="792"/>
      <c r="I30" s="793"/>
      <c r="J30" s="794"/>
      <c r="K30" s="818"/>
      <c r="L30" s="786" t="s">
        <v>711</v>
      </c>
      <c r="M30" s="796">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1882</v>
      </c>
      <c r="B31" s="2569" t="s">
        <v>2829</v>
      </c>
      <c r="C31" s="2572">
        <f ca="1">ROUND((C21+C22+C25+C28)/(1-F23-C26-C29-C30),0)</f>
        <v>0</v>
      </c>
      <c r="D31" s="2573"/>
      <c r="E31" s="2574"/>
      <c r="F31" s="2575"/>
      <c r="G31" s="1596"/>
      <c r="H31" s="825" t="s">
        <v>1871</v>
      </c>
      <c r="I31" s="3042" t="s">
        <v>2830</v>
      </c>
      <c r="J31" s="827">
        <f ca="1">ROUND(J28/(1+F45)^F46,0)</f>
        <v>0</v>
      </c>
      <c r="K31" s="828" t="s">
        <v>689</v>
      </c>
      <c r="L31" s="829"/>
      <c r="M31" s="830">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4">
        <f ca="1">ROUND(C33+C38+C39+C40,0)</f>
        <v>0</v>
      </c>
      <c r="D32" s="1825" t="s">
        <v>653</v>
      </c>
      <c r="E32" s="2515"/>
      <c r="F32" s="2519"/>
      <c r="G32" s="2066"/>
      <c r="H32" s="2069"/>
      <c r="I32" s="2070"/>
      <c r="J32" s="2071"/>
      <c r="K32" s="2072"/>
      <c r="L32" s="2073"/>
      <c r="M32" s="2074"/>
    </row>
    <row r="33" spans="1:18" ht="18" customHeight="1">
      <c r="A33" s="805" t="s">
        <v>1875</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6"/>
      <c r="H33" s="2069"/>
      <c r="I33" s="2070"/>
      <c r="J33" s="2071"/>
      <c r="K33" s="2072"/>
      <c r="L33" s="2073"/>
      <c r="M33" s="2074"/>
    </row>
    <row r="34" spans="1:18" ht="18" customHeight="1">
      <c r="A34" s="805" t="s">
        <v>1874</v>
      </c>
      <c r="B34" s="786" t="s">
        <v>661</v>
      </c>
      <c r="C34" s="53">
        <f ca="1">ROUND(C7*F34/1.05,1)</f>
        <v>0</v>
      </c>
      <c r="D34" s="1981" t="s">
        <v>662</v>
      </c>
      <c r="E34" s="786" t="s">
        <v>650</v>
      </c>
      <c r="F34" s="811">
        <f>'数据-取费表'!B41</f>
        <v>5.5000000000000007E-2</v>
      </c>
      <c r="G34" s="2066"/>
      <c r="H34" s="2075"/>
      <c r="I34" s="2076"/>
      <c r="J34" s="2077"/>
      <c r="K34" s="2078"/>
      <c r="L34" s="2079"/>
      <c r="M34" s="2080"/>
    </row>
    <row r="35" spans="1:18" ht="18" customHeight="1">
      <c r="A35" s="805" t="s">
        <v>1848</v>
      </c>
      <c r="B35" s="786" t="s">
        <v>665</v>
      </c>
      <c r="C35" s="53">
        <f ca="1">IF(D35="按租金收入计税",ROUND(C7*F35,1),IF(D35="按房产原值计税",ROUND(C31*F35*0.7,1),INDIRECT("'数据-取费表'!Aj"&amp;$G$1)))</f>
        <v>0</v>
      </c>
      <c r="D35" s="813" t="s">
        <v>1682</v>
      </c>
      <c r="E35" s="786" t="s">
        <v>650</v>
      </c>
      <c r="F35" s="811">
        <f>IF(D35="按租金收入计税",'数据-取费表'!B51,'数据-取费表'!B50)</f>
        <v>1.2E-2</v>
      </c>
      <c r="G35" s="2066"/>
      <c r="H35" s="2081"/>
      <c r="I35" s="2081"/>
      <c r="J35" s="2081"/>
      <c r="K35" s="2082"/>
      <c r="L35" s="2081"/>
      <c r="M35" s="2081"/>
    </row>
    <row r="36" spans="1:18" ht="18" customHeight="1">
      <c r="A36" s="815" t="s">
        <v>1879</v>
      </c>
      <c r="B36" s="343" t="s">
        <v>669</v>
      </c>
      <c r="C36" s="54">
        <f ca="1">ROUND(F36*F37/10000,1)</f>
        <v>0</v>
      </c>
      <c r="D36" s="816" t="s">
        <v>670</v>
      </c>
      <c r="E36" s="786" t="s">
        <v>671</v>
      </c>
      <c r="F36" s="642">
        <f>'数据-取费表'!B52</f>
        <v>1.5</v>
      </c>
      <c r="G36" s="2066"/>
      <c r="H36" s="2069"/>
      <c r="I36" s="3432"/>
      <c r="J36" s="2083"/>
      <c r="K36" s="2084"/>
      <c r="L36" s="2083"/>
      <c r="M36" s="2083"/>
    </row>
    <row r="37" spans="1:18" ht="18" customHeight="1">
      <c r="A37" s="817"/>
      <c r="B37" s="795"/>
      <c r="C37" s="69"/>
      <c r="D37" s="818"/>
      <c r="E37" s="786" t="s">
        <v>675</v>
      </c>
      <c r="F37" s="787">
        <f ca="1">INDIRECT("'数据-取费表'!r"&amp;$G$1)</f>
        <v>0</v>
      </c>
      <c r="G37" s="2066"/>
      <c r="H37" s="2069"/>
      <c r="I37" s="3432"/>
      <c r="J37" s="2081"/>
      <c r="K37" s="2082"/>
      <c r="L37" s="2081"/>
      <c r="M37" s="2081"/>
    </row>
    <row r="38" spans="1:18" ht="18" customHeight="1">
      <c r="A38" s="805" t="s">
        <v>1876</v>
      </c>
      <c r="B38" s="786" t="s">
        <v>677</v>
      </c>
      <c r="C38" s="53">
        <f ca="1">ROUND(C31*F38,1)</f>
        <v>0</v>
      </c>
      <c r="D38" s="1981" t="s">
        <v>692</v>
      </c>
      <c r="E38" s="786" t="s">
        <v>650</v>
      </c>
      <c r="F38" s="819">
        <f ca="1">INDIRECT("'数据-取费表'!Ak"&amp;$G$1)</f>
        <v>0</v>
      </c>
      <c r="G38" s="2066"/>
      <c r="H38" s="2081"/>
      <c r="I38" s="2085"/>
      <c r="J38" s="1992"/>
      <c r="K38" s="2086"/>
      <c r="L38" s="2081"/>
      <c r="M38" s="2081"/>
    </row>
    <row r="39" spans="1:18" ht="18" customHeight="1">
      <c r="A39" s="805" t="s">
        <v>1877</v>
      </c>
      <c r="B39" s="786" t="s">
        <v>680</v>
      </c>
      <c r="C39" s="53">
        <f ca="1">ROUND(C15*F39,1)</f>
        <v>0</v>
      </c>
      <c r="D39" s="1981" t="s">
        <v>681</v>
      </c>
      <c r="E39" s="786" t="s">
        <v>650</v>
      </c>
      <c r="F39" s="820">
        <f ca="1">INDIRECT("'数据-取费表'!Al"&amp;$G$1)</f>
        <v>0</v>
      </c>
      <c r="G39" s="2066"/>
      <c r="H39" s="2081"/>
      <c r="I39" s="2085"/>
      <c r="J39" s="1992"/>
      <c r="K39" s="2086"/>
      <c r="L39" s="2081"/>
      <c r="M39" s="2081"/>
    </row>
    <row r="40" spans="1:18" ht="18" customHeight="1" thickBot="1">
      <c r="A40" s="2588" t="s">
        <v>1878</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5"/>
      <c r="D41" s="1356"/>
      <c r="E41" s="1356"/>
      <c r="F41" s="1357"/>
      <c r="G41" s="2066"/>
      <c r="H41" s="2066"/>
      <c r="I41" s="2066"/>
      <c r="J41" s="2066"/>
      <c r="K41" s="2087"/>
      <c r="L41" s="2066"/>
      <c r="M41" s="2066"/>
    </row>
    <row r="42" spans="1:18" ht="18" customHeight="1">
      <c r="A42" s="805" t="s">
        <v>1875</v>
      </c>
      <c r="B42" s="837" t="s">
        <v>694</v>
      </c>
      <c r="C42" s="831">
        <f ca="1">C7-C32</f>
        <v>0</v>
      </c>
      <c r="D42" s="1983" t="s">
        <v>695</v>
      </c>
      <c r="E42" s="1985"/>
      <c r="F42" s="822"/>
      <c r="G42" s="2066"/>
      <c r="H42" s="2066"/>
      <c r="I42" s="2066"/>
      <c r="J42" s="2066"/>
      <c r="K42" s="2087"/>
      <c r="L42" s="2066"/>
      <c r="M42" s="2066"/>
    </row>
    <row r="43" spans="1:18" ht="18" customHeight="1">
      <c r="A43" s="805" t="s">
        <v>1876</v>
      </c>
      <c r="B43" s="837" t="s">
        <v>712</v>
      </c>
      <c r="C43" s="838">
        <f ca="1">ROUND(C15*F43,0)</f>
        <v>0</v>
      </c>
      <c r="D43" s="1358" t="s">
        <v>713</v>
      </c>
      <c r="E43" s="3158" t="s">
        <v>2972</v>
      </c>
      <c r="F43" s="3159">
        <f ca="1">INDIRECT("'数据-取费表'!j"&amp;$G$1)</f>
        <v>0</v>
      </c>
      <c r="G43" s="2066"/>
      <c r="H43" s="2066"/>
      <c r="I43" s="2066"/>
      <c r="J43" s="2066"/>
      <c r="K43" s="2087"/>
      <c r="L43" s="2066"/>
      <c r="M43" s="2066"/>
    </row>
    <row r="44" spans="1:18" ht="18" customHeight="1">
      <c r="A44" s="805" t="s">
        <v>1877</v>
      </c>
      <c r="B44" s="837" t="s">
        <v>714</v>
      </c>
      <c r="C44" s="1359">
        <f ca="1">C42-C43</f>
        <v>0</v>
      </c>
      <c r="D44" s="465" t="s">
        <v>715</v>
      </c>
      <c r="E44" s="466"/>
      <c r="F44" s="467"/>
      <c r="G44" s="2066"/>
      <c r="H44" s="2066"/>
      <c r="I44" s="2066"/>
      <c r="J44" s="2066"/>
      <c r="K44" s="2087"/>
      <c r="L44" s="2066"/>
      <c r="M44" s="2066"/>
    </row>
    <row r="45" spans="1:18" ht="18" customHeight="1">
      <c r="A45" s="805" t="s">
        <v>1878</v>
      </c>
      <c r="B45" s="1358" t="s">
        <v>716</v>
      </c>
      <c r="C45" s="3067">
        <f ca="1">ROUND(-PV(F45,F46,C44,0),0)</f>
        <v>0</v>
      </c>
      <c r="D45" s="1360" t="s">
        <v>717</v>
      </c>
      <c r="E45" s="808" t="s">
        <v>718</v>
      </c>
      <c r="F45" s="832">
        <f ca="1">INDIRECT("'数据-取费表'!h"&amp;$G$1)</f>
        <v>0</v>
      </c>
      <c r="G45" s="2066"/>
      <c r="H45" s="2066"/>
      <c r="I45" s="2066"/>
      <c r="J45" s="2066"/>
      <c r="K45" s="2087"/>
      <c r="L45" s="2066"/>
      <c r="M45" s="2066"/>
    </row>
    <row r="46" spans="1:18" ht="18" customHeight="1" thickBot="1">
      <c r="A46" s="833"/>
      <c r="B46" s="1361"/>
      <c r="C46" s="1362"/>
      <c r="D46" s="1363"/>
      <c r="E46" s="3160" t="s">
        <v>2975</v>
      </c>
      <c r="F46" s="830">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2344</v>
      </c>
      <c r="J47" s="2383"/>
      <c r="K47" s="2384"/>
      <c r="L47" s="2385" t="str">
        <f ca="1">IF(M48="住宅",0,IF(L49&gt;J52,L61,J61))</f>
        <v>0</v>
      </c>
      <c r="O47" s="2422" t="s">
        <v>2412</v>
      </c>
      <c r="P47" s="1595"/>
      <c r="Q47" s="1607"/>
      <c r="R47" s="1595"/>
    </row>
    <row r="48" spans="1:18" s="2063" customFormat="1" ht="18" customHeight="1" thickBot="1">
      <c r="A48" s="2088"/>
      <c r="C48" s="2091"/>
      <c r="D48" s="2092"/>
      <c r="E48" s="2092"/>
      <c r="F48" s="2093"/>
      <c r="G48" s="2094"/>
      <c r="I48" s="2386" t="s">
        <v>2345</v>
      </c>
      <c r="J48" s="2391"/>
      <c r="K48" s="2392" t="s">
        <v>2351</v>
      </c>
      <c r="L48" s="2393">
        <f ca="1">INDIRECT("'数据-取费表'!d"&amp;$G$1)</f>
        <v>0</v>
      </c>
      <c r="M48" s="3155" t="str">
        <f>IF(ISNUMBER(FIND("住宅",C1)),"住宅","非住宅")</f>
        <v>非住宅</v>
      </c>
      <c r="O48" s="2423" t="s">
        <v>2377</v>
      </c>
      <c r="P48" s="2424" t="s">
        <v>2378</v>
      </c>
      <c r="Q48" s="2425" t="s">
        <v>2379</v>
      </c>
      <c r="R48" s="2424" t="s">
        <v>2380</v>
      </c>
    </row>
    <row r="49" spans="1:18" s="2063" customFormat="1" ht="18" customHeight="1" thickBot="1">
      <c r="A49" s="2088"/>
      <c r="D49" s="2095"/>
      <c r="E49" s="2096"/>
      <c r="F49" s="2093"/>
      <c r="G49" s="2094"/>
      <c r="H49" s="2097"/>
      <c r="I49" s="2387" t="s">
        <v>2346</v>
      </c>
      <c r="J49" s="2394"/>
      <c r="K49" s="2395" t="s">
        <v>2353</v>
      </c>
      <c r="L49" s="2396">
        <f ca="1">INDIRECT("'数据-取费表'!f"&amp;$G$1)</f>
        <v>0</v>
      </c>
      <c r="O49" s="2426" t="s">
        <v>2381</v>
      </c>
      <c r="P49" s="2427" t="s">
        <v>2407</v>
      </c>
      <c r="Q49" s="2428">
        <f ca="1">C41+J31</f>
        <v>0</v>
      </c>
      <c r="R49" s="2427" t="s">
        <v>2382</v>
      </c>
    </row>
    <row r="50" spans="1:18" s="2063" customFormat="1" ht="18" customHeight="1" thickBot="1">
      <c r="A50" s="2088"/>
      <c r="D50" s="2098"/>
      <c r="E50" s="2098"/>
      <c r="F50" s="2092"/>
      <c r="G50" s="2099"/>
      <c r="H50" s="2097"/>
      <c r="I50" s="2387" t="s">
        <v>2347</v>
      </c>
      <c r="J50" s="2397"/>
      <c r="K50" s="2398" t="s">
        <v>2354</v>
      </c>
      <c r="L50" s="2399"/>
      <c r="O50" s="2426" t="s">
        <v>2383</v>
      </c>
      <c r="P50" s="2427" t="s">
        <v>2408</v>
      </c>
      <c r="Q50" s="2428" t="str">
        <f ca="1">J61</f>
        <v>0</v>
      </c>
      <c r="R50" s="2427" t="s">
        <v>2384</v>
      </c>
    </row>
    <row r="51" spans="1:18" s="2063" customFormat="1" ht="18" customHeight="1" thickBot="1">
      <c r="A51" s="2100"/>
      <c r="D51" s="2098"/>
      <c r="E51" s="2098"/>
      <c r="F51" s="2089"/>
      <c r="H51" s="2097"/>
      <c r="I51" s="2387" t="s">
        <v>2348</v>
      </c>
      <c r="J51" s="2400">
        <f>SUMPRODUCT((I64:I66=J48)*(J63:L63=J49)*(J64:L66))</f>
        <v>0</v>
      </c>
      <c r="K51" s="2398" t="s">
        <v>2355</v>
      </c>
      <c r="L51" s="2399"/>
      <c r="O51" s="2429" t="s">
        <v>2385</v>
      </c>
      <c r="P51" s="2427" t="s">
        <v>2409</v>
      </c>
      <c r="Q51" s="2428">
        <f ca="1">C31</f>
        <v>0</v>
      </c>
      <c r="R51" s="2427" t="s">
        <v>2382</v>
      </c>
    </row>
    <row r="52" spans="1:18" s="2063" customFormat="1" ht="18" customHeight="1" thickBot="1">
      <c r="A52" s="2100"/>
      <c r="F52" s="2089"/>
      <c r="I52" s="2388" t="s">
        <v>2349</v>
      </c>
      <c r="J52" s="2401">
        <f>IF(J50="",J51,J50+J51-YEAR('数据-取费表'!B3))</f>
        <v>0</v>
      </c>
      <c r="K52" s="2387" t="s">
        <v>2356</v>
      </c>
      <c r="L52" s="2402">
        <f ca="1">ROUND(-PV(INDIRECT("'数据-取费表'!h"&amp;$G$1),L49,(C40-C14*J36),0),0)</f>
        <v>0</v>
      </c>
      <c r="O52" s="2429" t="s">
        <v>2386</v>
      </c>
      <c r="P52" s="2427" t="s">
        <v>2387</v>
      </c>
      <c r="Q52" s="2430" t="e">
        <f ca="1">J59</f>
        <v>#VALUE!</v>
      </c>
      <c r="R52" s="2431"/>
    </row>
    <row r="53" spans="1:18" s="2063" customFormat="1" ht="18" customHeight="1" thickBot="1">
      <c r="A53" s="2100"/>
      <c r="F53" s="2089"/>
      <c r="I53" s="2389" t="s">
        <v>2423</v>
      </c>
      <c r="J53" s="2403"/>
      <c r="K53" s="2389" t="s">
        <v>2422</v>
      </c>
      <c r="L53" s="2403"/>
      <c r="O53" s="2429" t="s">
        <v>2388</v>
      </c>
      <c r="P53" s="2427" t="s">
        <v>2389</v>
      </c>
      <c r="Q53" s="2430">
        <f>J53</f>
        <v>0</v>
      </c>
      <c r="R53" s="2431"/>
    </row>
    <row r="54" spans="1:18" s="2063" customFormat="1" ht="43.5" thickBot="1">
      <c r="A54" s="2100"/>
      <c r="I54" s="2390" t="s">
        <v>2350</v>
      </c>
      <c r="J54" s="2404">
        <f ca="1">IF(M48="住宅",J52,IF(J52&gt;L49,L49-'数据-取费表'!B25,J52))</f>
        <v>0</v>
      </c>
      <c r="K54" s="3437"/>
      <c r="L54" s="3438"/>
      <c r="O54" s="2429" t="s">
        <v>2390</v>
      </c>
      <c r="P54" s="2427" t="s">
        <v>2391</v>
      </c>
      <c r="Q54" s="2428">
        <f ca="1">J54</f>
        <v>0</v>
      </c>
      <c r="R54" s="2427" t="s">
        <v>2392</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2393</v>
      </c>
      <c r="P55" s="2427" t="s">
        <v>2410</v>
      </c>
      <c r="Q55" s="2428">
        <f ca="1">Q49+Q50</f>
        <v>0</v>
      </c>
      <c r="R55" s="2431" t="s">
        <v>2394</v>
      </c>
    </row>
    <row r="56" spans="1:18" s="2063" customFormat="1" ht="16.5" thickBot="1">
      <c r="A56" s="2100"/>
      <c r="B56" s="2101"/>
      <c r="C56" s="2101"/>
      <c r="I56" s="3132" t="s">
        <v>2357</v>
      </c>
      <c r="J56" s="3156" t="e">
        <f ca="1">ROUND(IF(J48="钢混",J58/J51,1-(1-2%)*(J51-J58)/J51),3)</f>
        <v>#VALUE!</v>
      </c>
      <c r="K56" s="2405" t="s">
        <v>2358</v>
      </c>
      <c r="L56" s="2406"/>
      <c r="O56" s="2432" t="s">
        <v>2413</v>
      </c>
      <c r="P56" s="1595"/>
      <c r="Q56" s="1607"/>
      <c r="R56" s="1595"/>
    </row>
    <row r="57" spans="1:18" s="2063" customFormat="1" ht="43.5" thickBot="1">
      <c r="A57" s="2100"/>
      <c r="B57" s="2101"/>
      <c r="C57" s="2101"/>
      <c r="I57" s="2407" t="s">
        <v>2359</v>
      </c>
      <c r="J57" s="3155" t="s">
        <v>1680</v>
      </c>
      <c r="K57" s="2387" t="s">
        <v>2364</v>
      </c>
      <c r="L57" s="2396">
        <f ca="1">IF(L49&lt;J52,"——",L49-J52)</f>
        <v>0</v>
      </c>
      <c r="O57" s="2423" t="s">
        <v>2377</v>
      </c>
      <c r="P57" s="2424" t="s">
        <v>2378</v>
      </c>
      <c r="Q57" s="2425" t="s">
        <v>2379</v>
      </c>
      <c r="R57" s="2424" t="s">
        <v>2380</v>
      </c>
    </row>
    <row r="58" spans="1:18" s="2063" customFormat="1" ht="29.25" thickBot="1">
      <c r="A58" s="2100"/>
      <c r="B58" s="2101"/>
      <c r="C58" s="2101"/>
      <c r="I58" s="2408" t="s">
        <v>2360</v>
      </c>
      <c r="J58" s="2410" t="str">
        <f ca="1">IF(OR(M48="住宅",J52&lt;L49,J57="是"),"——",J52-L49)</f>
        <v>——</v>
      </c>
      <c r="K58" s="2387" t="s">
        <v>2365</v>
      </c>
      <c r="L58" s="2396">
        <f ca="1">IF(L49&lt;J52,"——",IF(L56="比较法",L50,IF(L56="基准地价",L51,L52)))</f>
        <v>0</v>
      </c>
      <c r="O58" s="2426" t="s">
        <v>2381</v>
      </c>
      <c r="P58" s="2427" t="s">
        <v>2407</v>
      </c>
      <c r="Q58" s="2428">
        <f ca="1">C41+J31</f>
        <v>0</v>
      </c>
      <c r="R58" s="2427" t="s">
        <v>2382</v>
      </c>
    </row>
    <row r="59" spans="1:18" s="2063" customFormat="1" ht="29.25" thickBot="1">
      <c r="A59" s="2100"/>
      <c r="B59" s="2101"/>
      <c r="C59" s="2101"/>
      <c r="I59" s="2408" t="s">
        <v>2361</v>
      </c>
      <c r="J59" s="3157" t="e">
        <f ca="1">IF(J56&lt;0.4,0.4,J56)</f>
        <v>#VALUE!</v>
      </c>
      <c r="K59" s="2387" t="s">
        <v>2366</v>
      </c>
      <c r="L59" s="2396">
        <f ca="1">IF(ISERROR(POWER(1+L53,L48-L49)*(POWER(1+L53,L49)-1)/(POWER(1+L53,L48)-1)),0,POWER(1+L53,L48-L49)*(POWER(1+L53,L49)-1)/(POWER(1+L53,L48)-1))</f>
        <v>0</v>
      </c>
      <c r="O59" s="2426" t="s">
        <v>2383</v>
      </c>
      <c r="P59" s="2427" t="s">
        <v>2414</v>
      </c>
      <c r="Q59" s="2428" t="e">
        <f ca="1">L61</f>
        <v>#DIV/0!</v>
      </c>
      <c r="R59" s="2431" t="s">
        <v>2416</v>
      </c>
    </row>
    <row r="60" spans="1:18" s="2063" customFormat="1" ht="29.25" thickBot="1">
      <c r="A60" s="2100"/>
      <c r="B60" s="2101"/>
      <c r="C60" s="2101"/>
      <c r="I60" s="2408" t="s">
        <v>2362</v>
      </c>
      <c r="J60" s="2410" t="str">
        <f ca="1">IF(OR(M48="住宅",J52&lt;L49,J57="是"),"——",ROUND(C30*J59,0))</f>
        <v>——</v>
      </c>
      <c r="K60" s="2387" t="s">
        <v>2367</v>
      </c>
      <c r="L60" s="2396">
        <f ca="1">IF(ISERROR(POWER(1+L53,L48-J52)*(POWER(1+L53,J52)-1)/(POWER(1+L53,L48)-1)),0,POWER(1+L53,L48-J52)*(POWER(1+L53,J52)-1)/(POWER(1+L53,L48)-1))</f>
        <v>0</v>
      </c>
      <c r="O60" s="2429" t="s">
        <v>2385</v>
      </c>
      <c r="P60" s="2427" t="s">
        <v>2415</v>
      </c>
      <c r="Q60" s="2428">
        <f>IF(L56="比较法",L50,IF(L56="基准地价",L51,0))</f>
        <v>0</v>
      </c>
      <c r="R60" s="2427" t="s">
        <v>2382</v>
      </c>
    </row>
    <row r="61" spans="1:18" s="2063" customFormat="1" ht="15.75" thickBot="1">
      <c r="A61" s="2100"/>
      <c r="B61" s="2101"/>
      <c r="C61" s="2101"/>
      <c r="I61" s="2409" t="s">
        <v>2363</v>
      </c>
      <c r="J61" s="2411" t="str">
        <f ca="1">IF(OR(M48="住宅",J52&lt;L49,J57="是"),"0",ROUND(J60/(1+J53)^J54,0))</f>
        <v>0</v>
      </c>
      <c r="K61" s="2412" t="s">
        <v>2368</v>
      </c>
      <c r="L61" s="2411" t="e">
        <f ca="1">IF(OR(M48="住宅",L49&lt;J52),0,ROUND(L58*(L59/L60-1),0))</f>
        <v>#DIV/0!</v>
      </c>
      <c r="O61" s="2429" t="s">
        <v>2386</v>
      </c>
      <c r="P61" s="2427" t="s">
        <v>2395</v>
      </c>
      <c r="Q61" s="2430">
        <f>L53</f>
        <v>0</v>
      </c>
      <c r="R61" s="2431"/>
    </row>
    <row r="62" spans="1:18" s="2063" customFormat="1" ht="20.25" thickBot="1">
      <c r="A62" s="2100"/>
      <c r="B62" s="2101"/>
      <c r="C62" s="2101"/>
      <c r="K62" s="2090"/>
      <c r="O62" s="2429" t="s">
        <v>2388</v>
      </c>
      <c r="P62" s="2427" t="s">
        <v>2396</v>
      </c>
      <c r="Q62" s="2428">
        <f ca="1">L59</f>
        <v>0</v>
      </c>
      <c r="R62" s="2431" t="s">
        <v>2397</v>
      </c>
    </row>
    <row r="63" spans="1:18" s="2063" customFormat="1" ht="20.25" thickBot="1">
      <c r="A63" s="2100"/>
      <c r="B63" s="2101"/>
      <c r="C63" s="2101"/>
      <c r="I63" s="2413" t="s">
        <v>2369</v>
      </c>
      <c r="J63" s="2414" t="s">
        <v>2370</v>
      </c>
      <c r="K63" s="2414" t="s">
        <v>2371</v>
      </c>
      <c r="L63" s="2414" t="s">
        <v>2352</v>
      </c>
      <c r="M63" s="3134" t="s">
        <v>2951</v>
      </c>
      <c r="O63" s="2429" t="s">
        <v>2390</v>
      </c>
      <c r="P63" s="2427" t="s">
        <v>2398</v>
      </c>
      <c r="Q63" s="2428">
        <f ca="1">L60</f>
        <v>0</v>
      </c>
      <c r="R63" s="2431" t="s">
        <v>2399</v>
      </c>
    </row>
    <row r="64" spans="1:18" s="2063" customFormat="1" ht="15.75" thickBot="1">
      <c r="A64" s="2100"/>
      <c r="B64" s="2101"/>
      <c r="C64" s="2101"/>
      <c r="I64" s="2413" t="s">
        <v>2372</v>
      </c>
      <c r="J64" s="2414">
        <v>70</v>
      </c>
      <c r="K64" s="2414">
        <v>50</v>
      </c>
      <c r="L64" s="2414">
        <v>80</v>
      </c>
      <c r="M64" s="3135">
        <v>0.02</v>
      </c>
      <c r="O64" s="2426" t="s">
        <v>2393</v>
      </c>
      <c r="P64" s="2427" t="s">
        <v>2410</v>
      </c>
      <c r="Q64" s="2428" t="e">
        <f ca="1">Q58+Q59</f>
        <v>#DIV/0!</v>
      </c>
      <c r="R64" s="2431" t="s">
        <v>2394</v>
      </c>
    </row>
    <row r="65" spans="1:18" s="2063" customFormat="1" ht="16.5" thickBot="1">
      <c r="A65" s="2100"/>
      <c r="B65" s="2101"/>
      <c r="C65" s="2101"/>
      <c r="I65" s="2413" t="s">
        <v>2373</v>
      </c>
      <c r="J65" s="2414">
        <v>50</v>
      </c>
      <c r="K65" s="2414">
        <v>35</v>
      </c>
      <c r="L65" s="2414">
        <v>60</v>
      </c>
      <c r="M65" s="3136">
        <v>0</v>
      </c>
      <c r="O65" s="2432" t="s">
        <v>2417</v>
      </c>
      <c r="P65" s="1595"/>
      <c r="Q65" s="1607"/>
      <c r="R65" s="1595"/>
    </row>
    <row r="66" spans="1:18" s="2063" customFormat="1" ht="15.75" thickBot="1">
      <c r="A66" s="2100"/>
      <c r="B66" s="2101"/>
      <c r="C66" s="2101"/>
      <c r="I66" s="2413" t="s">
        <v>2374</v>
      </c>
      <c r="J66" s="2414">
        <v>40</v>
      </c>
      <c r="K66" s="2414">
        <v>30</v>
      </c>
      <c r="L66" s="2414">
        <v>50</v>
      </c>
      <c r="M66" s="3135">
        <v>0.02</v>
      </c>
      <c r="O66" s="2423" t="s">
        <v>2377</v>
      </c>
      <c r="P66" s="2424" t="s">
        <v>2378</v>
      </c>
      <c r="Q66" s="2425" t="s">
        <v>2379</v>
      </c>
      <c r="R66" s="2424" t="s">
        <v>2380</v>
      </c>
    </row>
    <row r="67" spans="1:18" s="2063" customFormat="1" ht="15.75" thickBot="1">
      <c r="A67" s="2100"/>
      <c r="B67" s="2101"/>
      <c r="C67" s="2101"/>
      <c r="K67" s="2090"/>
      <c r="O67" s="2426" t="s">
        <v>2381</v>
      </c>
      <c r="P67" s="2427" t="s">
        <v>2407</v>
      </c>
      <c r="Q67" s="2428">
        <f ca="1">C41+J31</f>
        <v>0</v>
      </c>
      <c r="R67" s="2427" t="s">
        <v>2382</v>
      </c>
    </row>
    <row r="68" spans="1:18" s="2063" customFormat="1" ht="20.25" thickBot="1">
      <c r="A68" s="2100"/>
      <c r="B68" s="2101"/>
      <c r="C68" s="2101"/>
      <c r="K68" s="2090"/>
      <c r="O68" s="2426" t="s">
        <v>2383</v>
      </c>
      <c r="P68" s="2427" t="s">
        <v>2414</v>
      </c>
      <c r="Q68" s="2428" t="e">
        <f ca="1">L61</f>
        <v>#DIV/0!</v>
      </c>
      <c r="R68" s="2431" t="s">
        <v>2416</v>
      </c>
    </row>
    <row r="69" spans="1:18" s="2063" customFormat="1" ht="21.75" thickBot="1">
      <c r="A69" s="2100"/>
      <c r="B69" s="2101"/>
      <c r="C69" s="2101"/>
      <c r="K69" s="2090"/>
      <c r="O69" s="2429" t="s">
        <v>2385</v>
      </c>
      <c r="P69" s="2427" t="s">
        <v>2415</v>
      </c>
      <c r="Q69" s="2433">
        <f ca="1">L52</f>
        <v>0</v>
      </c>
      <c r="R69" s="2434" t="s">
        <v>2418</v>
      </c>
    </row>
    <row r="70" spans="1:18" s="2063" customFormat="1" ht="20.25" thickBot="1">
      <c r="A70" s="2100"/>
      <c r="B70" s="2101"/>
      <c r="C70" s="2101"/>
      <c r="K70" s="2090"/>
      <c r="O70" s="2429" t="s">
        <v>2386</v>
      </c>
      <c r="P70" s="2435" t="s">
        <v>2400</v>
      </c>
      <c r="Q70" s="2428">
        <f ca="1">ROUND(Q71-Q72*Q73,0)</f>
        <v>0</v>
      </c>
      <c r="R70" s="2431"/>
    </row>
    <row r="71" spans="1:18" s="2063" customFormat="1" ht="15.75" thickBot="1">
      <c r="A71" s="2100"/>
      <c r="B71" s="2101"/>
      <c r="C71" s="2101"/>
      <c r="K71" s="2090"/>
      <c r="O71" s="2429" t="s">
        <v>2401</v>
      </c>
      <c r="P71" s="2435" t="s">
        <v>2402</v>
      </c>
      <c r="Q71" s="2428">
        <f ca="1">C42</f>
        <v>0</v>
      </c>
      <c r="R71" s="2427" t="s">
        <v>2382</v>
      </c>
    </row>
    <row r="72" spans="1:18" s="2063" customFormat="1" ht="15.75" thickBot="1">
      <c r="A72" s="2100"/>
      <c r="B72" s="2101"/>
      <c r="C72" s="2101"/>
      <c r="K72" s="2090"/>
      <c r="O72" s="2429" t="s">
        <v>2403</v>
      </c>
      <c r="P72" s="2435" t="s">
        <v>2404</v>
      </c>
      <c r="Q72" s="2428">
        <f ca="1">C15</f>
        <v>0</v>
      </c>
      <c r="R72" s="2427" t="s">
        <v>2382</v>
      </c>
    </row>
    <row r="73" spans="1:18" s="2063" customFormat="1" ht="15.75" thickBot="1">
      <c r="A73" s="2100"/>
      <c r="B73" s="2101"/>
      <c r="C73" s="2101"/>
      <c r="K73" s="2090"/>
      <c r="O73" s="2429" t="s">
        <v>2405</v>
      </c>
      <c r="P73" s="2435" t="s">
        <v>2406</v>
      </c>
      <c r="Q73" s="2430">
        <f ca="1">F43</f>
        <v>0</v>
      </c>
      <c r="R73" s="2431"/>
    </row>
    <row r="74" spans="1:18" s="2063" customFormat="1" ht="15.75" thickBot="1">
      <c r="A74" s="2100"/>
      <c r="B74" s="2101"/>
      <c r="C74" s="2101"/>
      <c r="K74" s="2090"/>
      <c r="O74" s="2429" t="s">
        <v>2388</v>
      </c>
      <c r="P74" s="2427" t="s">
        <v>2395</v>
      </c>
      <c r="Q74" s="2430">
        <f>L53</f>
        <v>0</v>
      </c>
      <c r="R74" s="2431"/>
    </row>
    <row r="75" spans="1:18" s="2063" customFormat="1" ht="20.25" thickBot="1">
      <c r="A75" s="2100"/>
      <c r="B75" s="2101"/>
      <c r="C75" s="2101"/>
      <c r="K75" s="2090"/>
      <c r="O75" s="2429" t="s">
        <v>2390</v>
      </c>
      <c r="P75" s="2427" t="s">
        <v>2396</v>
      </c>
      <c r="Q75" s="2428">
        <f ca="1">L59</f>
        <v>0</v>
      </c>
      <c r="R75" s="2431" t="s">
        <v>2397</v>
      </c>
    </row>
    <row r="76" spans="1:18" s="2063" customFormat="1" ht="20.25" thickBot="1">
      <c r="A76" s="2100"/>
      <c r="B76" s="2101"/>
      <c r="C76" s="2101"/>
      <c r="K76" s="2090"/>
      <c r="O76" s="2429" t="s">
        <v>2419</v>
      </c>
      <c r="P76" s="2427" t="s">
        <v>2398</v>
      </c>
      <c r="Q76" s="2428">
        <f ca="1">L60</f>
        <v>0</v>
      </c>
      <c r="R76" s="2431" t="s">
        <v>2399</v>
      </c>
    </row>
    <row r="77" spans="1:18" s="2063" customFormat="1" ht="15.75" thickBot="1">
      <c r="A77" s="2100"/>
      <c r="B77" s="2101"/>
      <c r="C77" s="2101"/>
      <c r="K77" s="2090"/>
      <c r="O77" s="2426" t="s">
        <v>2393</v>
      </c>
      <c r="P77" s="2427" t="s">
        <v>2410</v>
      </c>
      <c r="Q77" s="2428" t="e">
        <f ca="1">Q67+Q68</f>
        <v>#DIV/0!</v>
      </c>
      <c r="R77" s="2431" t="s">
        <v>2394</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5" t="s">
        <v>2580</v>
      </c>
      <c r="C1" s="3445"/>
      <c r="D1" s="3445"/>
      <c r="E1" s="3445"/>
      <c r="F1" s="3445"/>
      <c r="G1" s="3444" t="s">
        <v>2581</v>
      </c>
      <c r="H1" s="3444"/>
      <c r="I1" s="3444"/>
      <c r="J1" s="3444"/>
      <c r="K1" s="3444"/>
      <c r="L1" s="3444"/>
      <c r="N1" s="3444" t="s">
        <v>2582</v>
      </c>
      <c r="O1" s="3444"/>
      <c r="P1" s="3444"/>
      <c r="Q1" s="3444"/>
      <c r="R1" s="2683"/>
      <c r="S1" s="3444" t="s">
        <v>2583</v>
      </c>
      <c r="T1" s="3444"/>
      <c r="U1" s="3444"/>
      <c r="V1" s="3444"/>
      <c r="X1" s="3443" t="s">
        <v>2644</v>
      </c>
      <c r="Y1" s="3444"/>
      <c r="Z1" s="3444"/>
      <c r="AA1" s="3444"/>
      <c r="AB1" s="3444"/>
      <c r="AD1" s="3443" t="s">
        <v>2649</v>
      </c>
      <c r="AE1" s="3444"/>
      <c r="AF1" s="3444"/>
      <c r="AG1" s="3444"/>
      <c r="AH1" s="3444"/>
    </row>
    <row r="2" spans="1:34" s="2785" customFormat="1" ht="14.25" thickBot="1">
      <c r="B2" s="2794" t="s">
        <v>2584</v>
      </c>
      <c r="C2" s="2794" t="s">
        <v>2647</v>
      </c>
      <c r="D2" s="2786" t="s">
        <v>1646</v>
      </c>
      <c r="E2" s="2786" t="s">
        <v>1950</v>
      </c>
      <c r="F2" s="2794" t="s">
        <v>2648</v>
      </c>
      <c r="G2" s="2789"/>
      <c r="H2" s="2788"/>
      <c r="I2" s="2794" t="s">
        <v>2966</v>
      </c>
      <c r="J2" s="2786" t="s">
        <v>2968</v>
      </c>
      <c r="K2" s="2786" t="s">
        <v>2969</v>
      </c>
      <c r="L2" s="2794" t="s">
        <v>2970</v>
      </c>
      <c r="N2" s="2794" t="s">
        <v>2584</v>
      </c>
      <c r="O2" s="2786" t="s">
        <v>2967</v>
      </c>
      <c r="P2" s="2786" t="s">
        <v>1950</v>
      </c>
      <c r="Q2" s="2794" t="s">
        <v>2648</v>
      </c>
      <c r="R2" s="2787"/>
      <c r="S2" s="2794" t="s">
        <v>2584</v>
      </c>
      <c r="T2" s="2786" t="s">
        <v>2967</v>
      </c>
      <c r="U2" s="2786" t="s">
        <v>1950</v>
      </c>
      <c r="V2" s="2794" t="s">
        <v>2648</v>
      </c>
      <c r="X2" s="2794" t="s">
        <v>2584</v>
      </c>
      <c r="Y2" s="2794" t="s">
        <v>2647</v>
      </c>
      <c r="Z2" s="2786" t="s">
        <v>1646</v>
      </c>
      <c r="AA2" s="2786" t="s">
        <v>1950</v>
      </c>
      <c r="AB2" s="2794" t="s">
        <v>2648</v>
      </c>
      <c r="AD2" s="2794" t="s">
        <v>2584</v>
      </c>
      <c r="AE2" s="2794" t="s">
        <v>2647</v>
      </c>
      <c r="AF2" s="2786" t="s">
        <v>1646</v>
      </c>
      <c r="AG2" s="2786" t="s">
        <v>1950</v>
      </c>
      <c r="AH2" s="2794" t="s">
        <v>2648</v>
      </c>
    </row>
    <row r="3" spans="1:34" s="2778" customFormat="1" ht="14.25">
      <c r="B3" s="2779"/>
      <c r="C3" s="2779"/>
      <c r="D3" s="2780"/>
      <c r="E3" s="2780"/>
      <c r="F3" s="2779"/>
      <c r="G3" s="2784"/>
      <c r="H3" s="2781"/>
      <c r="I3" s="3166"/>
      <c r="J3" s="3166"/>
      <c r="K3" s="3166"/>
      <c r="L3" s="3166"/>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2978</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2"/>
      <c r="S4" s="2784"/>
      <c r="T4" s="2782"/>
      <c r="U4" s="2782"/>
      <c r="V4" s="2782"/>
      <c r="X4" s="2783"/>
      <c r="Y4" s="2783"/>
      <c r="Z4" s="2783"/>
      <c r="AA4" s="2783"/>
      <c r="AB4" s="2783"/>
      <c r="AD4" s="2703"/>
      <c r="AE4" s="2703"/>
      <c r="AF4" s="2703"/>
      <c r="AG4" s="2703"/>
      <c r="AH4" s="2703"/>
    </row>
    <row r="5" spans="1:34" s="3149" customFormat="1">
      <c r="A5" s="3147" t="s">
        <v>2977</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2">
        <v>2017</v>
      </c>
      <c r="H5" s="3148">
        <v>4</v>
      </c>
      <c r="I5" s="3167">
        <f>ROUND(AVERAGE(I6:I20),2)</f>
        <v>2.4900000000000002</v>
      </c>
      <c r="J5" s="3167">
        <f>ROUND(AVERAGE(J6:J20),2)</f>
        <v>1.64</v>
      </c>
      <c r="K5" s="3167">
        <f>ROUND(AVERAGE(K6:K20),2)</f>
        <v>2.78</v>
      </c>
      <c r="L5" s="3167">
        <f>ROUND(AVERAGE(L6:L20),2)</f>
        <v>1.39</v>
      </c>
      <c r="N5" s="2791">
        <f t="shared" si="7"/>
        <v>2.4900000000000002E-2</v>
      </c>
      <c r="O5" s="2791">
        <f t="shared" ref="O5" si="15">J5/100</f>
        <v>1.6399999999999998E-2</v>
      </c>
      <c r="P5" s="2791">
        <f t="shared" ref="P5" si="16">K5/100</f>
        <v>2.7799999999999998E-2</v>
      </c>
      <c r="Q5" s="2791">
        <f t="shared" ref="Q5" si="17">L5/100</f>
        <v>1.3899999999999999E-2</v>
      </c>
      <c r="R5" s="3150"/>
      <c r="S5" s="3151"/>
      <c r="T5" s="3150"/>
      <c r="U5" s="3150"/>
      <c r="V5" s="3150"/>
      <c r="W5" s="2792" t="s">
        <v>2645</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4" t="s">
        <v>2585</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0"/>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50"/>
      <c r="S6" s="2687"/>
      <c r="T6" s="3163"/>
      <c r="U6" s="3163"/>
      <c r="V6" s="3163"/>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2586</v>
      </c>
      <c r="B7" s="2698">
        <f t="shared" si="18"/>
        <v>419.31181600000002</v>
      </c>
      <c r="C7" s="2698">
        <f t="shared" si="18"/>
        <v>313.95436800000004</v>
      </c>
      <c r="D7" s="2698">
        <f t="shared" si="3"/>
        <v>313.95436800000004</v>
      </c>
      <c r="E7" s="2698">
        <f t="shared" si="19"/>
        <v>596.63028431999999</v>
      </c>
      <c r="F7" s="2698">
        <f t="shared" si="19"/>
        <v>274.74220703999998</v>
      </c>
      <c r="G7" s="3440"/>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2587</v>
      </c>
      <c r="B8" s="2698">
        <f t="shared" si="18"/>
        <v>405.524</v>
      </c>
      <c r="C8" s="2698">
        <f t="shared" si="18"/>
        <v>307.79840000000002</v>
      </c>
      <c r="D8" s="2698">
        <f t="shared" si="3"/>
        <v>307.79840000000002</v>
      </c>
      <c r="E8" s="2698">
        <f t="shared" si="19"/>
        <v>574.67759999999998</v>
      </c>
      <c r="F8" s="2698">
        <f t="shared" si="19"/>
        <v>270.20280000000002</v>
      </c>
      <c r="G8" s="3441"/>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972</v>
      </c>
      <c r="B9" s="2690">
        <v>392</v>
      </c>
      <c r="C9" s="2690">
        <v>302</v>
      </c>
      <c r="D9" s="2690">
        <f t="shared" si="3"/>
        <v>302</v>
      </c>
      <c r="E9" s="2690">
        <v>553</v>
      </c>
      <c r="F9" s="2691">
        <v>266</v>
      </c>
      <c r="G9" s="3442">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971</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0"/>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961</v>
      </c>
      <c r="B11" s="2698">
        <f t="shared" si="27"/>
        <v>360.06949782209392</v>
      </c>
      <c r="C11" s="2698">
        <f t="shared" si="27"/>
        <v>289.84672674747821</v>
      </c>
      <c r="D11" s="2698">
        <f t="shared" si="28"/>
        <v>289.84672674747821</v>
      </c>
      <c r="E11" s="2698">
        <f t="shared" si="29"/>
        <v>501.06543001181495</v>
      </c>
      <c r="F11" s="2698">
        <f t="shared" si="29"/>
        <v>256.82882500744967</v>
      </c>
      <c r="G11" s="3440"/>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970</v>
      </c>
      <c r="B12" s="2698">
        <f t="shared" si="27"/>
        <v>346.720748986128</v>
      </c>
      <c r="C12" s="2698">
        <f t="shared" si="27"/>
        <v>284.30282172386285</v>
      </c>
      <c r="D12" s="2698">
        <f t="shared" si="28"/>
        <v>284.30282172386285</v>
      </c>
      <c r="E12" s="2698">
        <f t="shared" si="29"/>
        <v>479.58023546306947</v>
      </c>
      <c r="F12" s="2698">
        <f t="shared" si="29"/>
        <v>253.25788877571213</v>
      </c>
      <c r="G12" s="3441"/>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969</v>
      </c>
      <c r="B13" s="2690">
        <v>333</v>
      </c>
      <c r="C13" s="2690">
        <v>277</v>
      </c>
      <c r="D13" s="2690">
        <f t="shared" si="28"/>
        <v>277</v>
      </c>
      <c r="E13" s="2690">
        <v>459</v>
      </c>
      <c r="F13" s="2691">
        <v>249</v>
      </c>
      <c r="G13" s="3439">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968</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0"/>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967</v>
      </c>
      <c r="B15" s="2698">
        <f t="shared" si="31"/>
        <v>322.34053690220776</v>
      </c>
      <c r="C15" s="2698">
        <f t="shared" si="31"/>
        <v>271.46160770422546</v>
      </c>
      <c r="D15" s="2698">
        <f t="shared" si="28"/>
        <v>271.46160770422546</v>
      </c>
      <c r="E15" s="2698">
        <f t="shared" si="32"/>
        <v>442.69434542172456</v>
      </c>
      <c r="F15" s="2698">
        <f t="shared" si="32"/>
        <v>241.34030753190925</v>
      </c>
      <c r="G15" s="3440"/>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966</v>
      </c>
      <c r="B16" s="2698">
        <f t="shared" si="31"/>
        <v>319.87748030386797</v>
      </c>
      <c r="C16" s="2698">
        <f t="shared" si="31"/>
        <v>269.60135833173649</v>
      </c>
      <c r="D16" s="2698">
        <f t="shared" si="28"/>
        <v>269.60135833173649</v>
      </c>
      <c r="E16" s="2698">
        <f t="shared" si="32"/>
        <v>439.18089823583784</v>
      </c>
      <c r="F16" s="2698">
        <f t="shared" si="32"/>
        <v>239.23503918706311</v>
      </c>
      <c r="G16" s="3441"/>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965</v>
      </c>
      <c r="B17" s="2712">
        <v>318</v>
      </c>
      <c r="C17" s="2712">
        <v>268</v>
      </c>
      <c r="D17" s="2712">
        <f t="shared" si="28"/>
        <v>268</v>
      </c>
      <c r="E17" s="2712">
        <v>437</v>
      </c>
      <c r="F17" s="2713">
        <v>237</v>
      </c>
      <c r="G17" s="3439">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964</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0"/>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963</v>
      </c>
      <c r="B19" s="2698">
        <f t="shared" si="33"/>
        <v>314.72141172386546</v>
      </c>
      <c r="C19" s="2698">
        <f t="shared" si="33"/>
        <v>263.03901319069001</v>
      </c>
      <c r="D19" s="2698">
        <f t="shared" si="28"/>
        <v>263.03901319069001</v>
      </c>
      <c r="E19" s="2698">
        <f t="shared" si="34"/>
        <v>433.65745506782821</v>
      </c>
      <c r="F19" s="2698">
        <f t="shared" si="34"/>
        <v>233.23005080045735</v>
      </c>
      <c r="G19" s="3440"/>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962</v>
      </c>
      <c r="B20" s="2717">
        <f t="shared" si="33"/>
        <v>307.34512863658733</v>
      </c>
      <c r="C20" s="2717">
        <f t="shared" si="33"/>
        <v>257.80556031626975</v>
      </c>
      <c r="D20" s="2717">
        <f t="shared" si="28"/>
        <v>257.80556031626975</v>
      </c>
      <c r="E20" s="2717">
        <f t="shared" si="34"/>
        <v>422.70928459677179</v>
      </c>
      <c r="F20" s="2717">
        <f t="shared" si="34"/>
        <v>229.73803270336617</v>
      </c>
      <c r="G20" s="3441"/>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2646</v>
      </c>
      <c r="X20" s="2795">
        <v>1</v>
      </c>
      <c r="Y20" s="2795">
        <v>1</v>
      </c>
      <c r="Z20" s="2795">
        <v>1</v>
      </c>
      <c r="AA20" s="2795">
        <v>1</v>
      </c>
      <c r="AB20" s="2795">
        <v>1</v>
      </c>
      <c r="AD20" s="3039">
        <f>I20/100</f>
        <v>2.9700000000000001E-2</v>
      </c>
      <c r="AE20" s="3039">
        <f>J20/100</f>
        <v>2.3399999999999997E-2</v>
      </c>
      <c r="AF20" s="3039">
        <f>AE20</f>
        <v>2.3399999999999997E-2</v>
      </c>
      <c r="AG20" s="3039">
        <f>K20/100</f>
        <v>3.2799999999999996E-2</v>
      </c>
      <c r="AH20" s="3039">
        <f>L20/100</f>
        <v>1.3600000000000001E-2</v>
      </c>
    </row>
    <row r="21" spans="1:34" ht="13.5" thickBot="1">
      <c r="A21" s="2684" t="s">
        <v>2588</v>
      </c>
      <c r="B21" s="2690">
        <v>299</v>
      </c>
      <c r="C21" s="2690">
        <v>252</v>
      </c>
      <c r="D21" s="2690">
        <f t="shared" si="28"/>
        <v>252</v>
      </c>
      <c r="E21" s="2690">
        <v>409</v>
      </c>
      <c r="F21" s="2691">
        <v>227</v>
      </c>
      <c r="G21" s="3446">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2589</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7"/>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2590</v>
      </c>
      <c r="B23" s="2698">
        <f t="shared" si="37"/>
        <v>288.2649053828776</v>
      </c>
      <c r="C23" s="2698">
        <f t="shared" si="37"/>
        <v>243.64564425013293</v>
      </c>
      <c r="D23" s="2698">
        <f t="shared" si="28"/>
        <v>243.64564425013293</v>
      </c>
      <c r="E23" s="2698">
        <f t="shared" si="38"/>
        <v>393.31080825986544</v>
      </c>
      <c r="F23" s="2698">
        <f t="shared" si="38"/>
        <v>223.07903790551154</v>
      </c>
      <c r="G23" s="3447"/>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2591</v>
      </c>
      <c r="B24" s="2698">
        <f t="shared" si="37"/>
        <v>282.50186729015837</v>
      </c>
      <c r="C24" s="2698">
        <f t="shared" si="37"/>
        <v>238.09796174155468</v>
      </c>
      <c r="D24" s="2698">
        <f t="shared" si="28"/>
        <v>238.09796174155468</v>
      </c>
      <c r="E24" s="2698">
        <f t="shared" si="38"/>
        <v>385.33438646014054</v>
      </c>
      <c r="F24" s="2698">
        <f t="shared" si="38"/>
        <v>221.55034055567739</v>
      </c>
      <c r="G24" s="3448"/>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2592</v>
      </c>
      <c r="B25" s="2728">
        <v>278</v>
      </c>
      <c r="C25" s="2728">
        <v>234</v>
      </c>
      <c r="D25" s="2728">
        <f t="shared" si="28"/>
        <v>234</v>
      </c>
      <c r="E25" s="2728">
        <v>379</v>
      </c>
      <c r="F25" s="2729">
        <v>220</v>
      </c>
      <c r="G25" s="3439">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2593</v>
      </c>
      <c r="B26" s="2698">
        <f>B25/(1+N25)</f>
        <v>275.49301357645425</v>
      </c>
      <c r="C26" s="2698">
        <f>C25/(1+O25)</f>
        <v>232.41954707985698</v>
      </c>
      <c r="D26" s="2698">
        <f t="shared" si="28"/>
        <v>232.41954707985698</v>
      </c>
      <c r="E26" s="2698">
        <f t="shared" ref="E26:F28" si="39">E25/(1+P25)</f>
        <v>375.32184591008121</v>
      </c>
      <c r="F26" s="2698">
        <f t="shared" si="39"/>
        <v>218.03766105054513</v>
      </c>
      <c r="G26" s="3440"/>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2594</v>
      </c>
      <c r="B27" s="2698">
        <f>B26/(1+N26)</f>
        <v>275.24529281292263</v>
      </c>
      <c r="C27" s="2698">
        <f>C26/(1+O26)</f>
        <v>231.74747938962707</v>
      </c>
      <c r="D27" s="2698">
        <f t="shared" si="28"/>
        <v>231.74747938962707</v>
      </c>
      <c r="E27" s="2698">
        <f t="shared" si="39"/>
        <v>375.35938184826603</v>
      </c>
      <c r="F27" s="2698">
        <f t="shared" si="39"/>
        <v>216.78033510692495</v>
      </c>
      <c r="G27" s="3440"/>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2595</v>
      </c>
      <c r="B28" s="2698">
        <f>B27/(1+N27)</f>
        <v>275.19025476197027</v>
      </c>
      <c r="C28" s="2730">
        <v>232</v>
      </c>
      <c r="D28" s="2730">
        <f t="shared" si="28"/>
        <v>232</v>
      </c>
      <c r="E28" s="2698">
        <f t="shared" si="39"/>
        <v>375.65990977608692</v>
      </c>
      <c r="F28" s="2698">
        <f t="shared" si="39"/>
        <v>214.12518283971252</v>
      </c>
      <c r="G28" s="3441"/>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2596</v>
      </c>
      <c r="B29" s="2690">
        <v>275</v>
      </c>
      <c r="C29" s="2690">
        <v>232</v>
      </c>
      <c r="D29" s="2690">
        <f t="shared" si="28"/>
        <v>232</v>
      </c>
      <c r="E29" s="2690">
        <v>376</v>
      </c>
      <c r="F29" s="2691">
        <v>213</v>
      </c>
      <c r="G29" s="3439">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2597</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0">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2598</v>
      </c>
      <c r="B31" s="2698">
        <f t="shared" si="40"/>
        <v>275.19335084830601</v>
      </c>
      <c r="C31" s="2698">
        <f t="shared" si="40"/>
        <v>230.18088050139744</v>
      </c>
      <c r="D31" s="2698">
        <f t="shared" si="28"/>
        <v>230.18088050139744</v>
      </c>
      <c r="E31" s="2698">
        <f t="shared" si="41"/>
        <v>377.58482925212331</v>
      </c>
      <c r="F31" s="2698">
        <f t="shared" si="41"/>
        <v>210.90687997847917</v>
      </c>
      <c r="G31" s="3440">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2599</v>
      </c>
      <c r="B32" s="2698">
        <f t="shared" si="40"/>
        <v>276.29854502841971</v>
      </c>
      <c r="C32" s="2698">
        <f t="shared" si="40"/>
        <v>229.79023709833027</v>
      </c>
      <c r="D32" s="2698">
        <f t="shared" si="28"/>
        <v>229.79023709833027</v>
      </c>
      <c r="E32" s="2698">
        <f t="shared" si="41"/>
        <v>379.78759731655936</v>
      </c>
      <c r="F32" s="2698">
        <f t="shared" si="41"/>
        <v>211.32953905659235</v>
      </c>
      <c r="G32" s="3441">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2600</v>
      </c>
      <c r="B33" s="2690">
        <v>269</v>
      </c>
      <c r="C33" s="2690">
        <v>221</v>
      </c>
      <c r="D33" s="2690">
        <f t="shared" si="28"/>
        <v>221</v>
      </c>
      <c r="E33" s="2690">
        <v>373</v>
      </c>
      <c r="F33" s="2691">
        <v>196</v>
      </c>
      <c r="G33" s="3439">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2601</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0">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2602</v>
      </c>
      <c r="B35" s="2698">
        <f t="shared" si="42"/>
        <v>242.95398227588385</v>
      </c>
      <c r="C35" s="2698">
        <f t="shared" si="42"/>
        <v>199.59137053614126</v>
      </c>
      <c r="D35" s="2698">
        <f t="shared" si="28"/>
        <v>199.59137053614126</v>
      </c>
      <c r="E35" s="2698">
        <f t="shared" si="43"/>
        <v>335.92189522342125</v>
      </c>
      <c r="F35" s="2698">
        <f t="shared" si="43"/>
        <v>183.10139991109489</v>
      </c>
      <c r="G35" s="3440">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2603</v>
      </c>
      <c r="B36" s="2698">
        <f t="shared" si="42"/>
        <v>232.06990378821649</v>
      </c>
      <c r="C36" s="2698">
        <f t="shared" si="42"/>
        <v>192.74878854286936</v>
      </c>
      <c r="D36" s="2698">
        <f t="shared" si="28"/>
        <v>192.74878854286936</v>
      </c>
      <c r="E36" s="2698">
        <f t="shared" si="43"/>
        <v>319.71247284992984</v>
      </c>
      <c r="F36" s="2698">
        <f t="shared" si="43"/>
        <v>175.67053622862409</v>
      </c>
      <c r="G36" s="3441">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2604</v>
      </c>
      <c r="B37" s="2690">
        <v>220</v>
      </c>
      <c r="C37" s="2690">
        <v>187</v>
      </c>
      <c r="D37" s="2690">
        <f t="shared" si="28"/>
        <v>187</v>
      </c>
      <c r="E37" s="2690">
        <v>301</v>
      </c>
      <c r="F37" s="2691">
        <v>168</v>
      </c>
      <c r="G37" s="3439">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2605</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0">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2606</v>
      </c>
      <c r="B39" s="2698">
        <f t="shared" si="44"/>
        <v>210.630522469011</v>
      </c>
      <c r="C39" s="2698">
        <f t="shared" si="44"/>
        <v>181.69567812247232</v>
      </c>
      <c r="D39" s="2698">
        <f t="shared" si="28"/>
        <v>181.69567812247232</v>
      </c>
      <c r="E39" s="2698">
        <f t="shared" si="45"/>
        <v>286.13517466736738</v>
      </c>
      <c r="F39" s="2698">
        <f t="shared" si="45"/>
        <v>165.47535084591149</v>
      </c>
      <c r="G39" s="3440">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2607</v>
      </c>
      <c r="B40" s="2698">
        <f t="shared" si="44"/>
        <v>208.83454537875372</v>
      </c>
      <c r="C40" s="2698">
        <f t="shared" si="44"/>
        <v>183.77230517090351</v>
      </c>
      <c r="D40" s="2698">
        <f t="shared" si="28"/>
        <v>183.77230517090351</v>
      </c>
      <c r="E40" s="2698">
        <f t="shared" si="45"/>
        <v>281.10342338870947</v>
      </c>
      <c r="F40" s="2698">
        <f t="shared" si="45"/>
        <v>168.97309388942256</v>
      </c>
      <c r="G40" s="3441">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2608</v>
      </c>
      <c r="B41" s="2728">
        <v>214</v>
      </c>
      <c r="C41" s="2728">
        <v>188</v>
      </c>
      <c r="D41" s="2728">
        <f t="shared" si="28"/>
        <v>188</v>
      </c>
      <c r="E41" s="2728">
        <v>289</v>
      </c>
      <c r="F41" s="2729">
        <v>166</v>
      </c>
      <c r="G41" s="3439">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2609</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0">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2610</v>
      </c>
      <c r="B43" s="2698">
        <f t="shared" si="46"/>
        <v>206.31694671589116</v>
      </c>
      <c r="C43" s="2698">
        <f t="shared" si="46"/>
        <v>183.61041121036101</v>
      </c>
      <c r="D43" s="2698">
        <f t="shared" si="28"/>
        <v>183.61041121036101</v>
      </c>
      <c r="E43" s="2698">
        <f t="shared" si="47"/>
        <v>276.66850301795557</v>
      </c>
      <c r="F43" s="2698">
        <f t="shared" si="47"/>
        <v>165.1360938278614</v>
      </c>
      <c r="G43" s="3440">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2611</v>
      </c>
      <c r="B44" s="2731">
        <f t="shared" si="46"/>
        <v>196.62341248059772</v>
      </c>
      <c r="C44" s="2731">
        <f t="shared" si="46"/>
        <v>170.99125648199012</v>
      </c>
      <c r="D44" s="2731">
        <f t="shared" si="28"/>
        <v>170.99125648199012</v>
      </c>
      <c r="E44" s="2731">
        <f t="shared" si="47"/>
        <v>266.07857570490052</v>
      </c>
      <c r="F44" s="2731">
        <f t="shared" si="47"/>
        <v>154.53499328828505</v>
      </c>
      <c r="G44" s="3441">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2612</v>
      </c>
      <c r="B45" s="2690">
        <v>188</v>
      </c>
      <c r="C45" s="2690">
        <v>165</v>
      </c>
      <c r="D45" s="2690">
        <f t="shared" si="28"/>
        <v>165</v>
      </c>
      <c r="E45" s="2690">
        <v>254</v>
      </c>
      <c r="F45" s="2691">
        <v>148</v>
      </c>
      <c r="G45" s="3439">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2613</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0">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2614</v>
      </c>
      <c r="B47" s="2698">
        <f t="shared" si="50"/>
        <v>168.82017748715555</v>
      </c>
      <c r="C47" s="2698">
        <f t="shared" si="50"/>
        <v>148.06267029972753</v>
      </c>
      <c r="D47" s="2698">
        <f t="shared" si="28"/>
        <v>148.06267029972753</v>
      </c>
      <c r="E47" s="2698">
        <f t="shared" si="51"/>
        <v>216.46288379323747</v>
      </c>
      <c r="F47" s="2698">
        <f t="shared" si="51"/>
        <v>134.23529411764704</v>
      </c>
      <c r="G47" s="3440">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2615</v>
      </c>
      <c r="B48" s="2698">
        <f t="shared" si="50"/>
        <v>163.84913591779542</v>
      </c>
      <c r="C48" s="2698">
        <f t="shared" si="50"/>
        <v>145.0283378746594</v>
      </c>
      <c r="D48" s="2698">
        <f t="shared" si="28"/>
        <v>145.0283378746594</v>
      </c>
      <c r="E48" s="2698">
        <f t="shared" si="51"/>
        <v>204.95180722891567</v>
      </c>
      <c r="F48" s="2698">
        <f t="shared" si="51"/>
        <v>125.95920303605313</v>
      </c>
      <c r="G48" s="3441">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2616</v>
      </c>
      <c r="B49" s="2712">
        <v>159</v>
      </c>
      <c r="C49" s="2712">
        <v>141</v>
      </c>
      <c r="D49" s="2712">
        <f t="shared" si="28"/>
        <v>141</v>
      </c>
      <c r="E49" s="2712">
        <v>195</v>
      </c>
      <c r="F49" s="2713">
        <v>122</v>
      </c>
      <c r="G49" s="3439">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2617</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0">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2618</v>
      </c>
      <c r="B51" s="2698">
        <f t="shared" si="54"/>
        <v>146.57412060301507</v>
      </c>
      <c r="C51" s="2698">
        <f t="shared" si="54"/>
        <v>136.46831955922866</v>
      </c>
      <c r="D51" s="2698">
        <f t="shared" si="28"/>
        <v>136.46831955922866</v>
      </c>
      <c r="E51" s="2698">
        <f t="shared" si="55"/>
        <v>166.73864894795128</v>
      </c>
      <c r="F51" s="2698">
        <f t="shared" si="55"/>
        <v>115.05882352941177</v>
      </c>
      <c r="G51" s="3440">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2619</v>
      </c>
      <c r="B52" s="2698">
        <f t="shared" si="54"/>
        <v>144.04145728643215</v>
      </c>
      <c r="C52" s="2698">
        <f t="shared" si="54"/>
        <v>136.12396694214877</v>
      </c>
      <c r="D52" s="2698">
        <f t="shared" si="28"/>
        <v>136.12396694214877</v>
      </c>
      <c r="E52" s="2698">
        <f t="shared" si="55"/>
        <v>158.32225913621264</v>
      </c>
      <c r="F52" s="2698">
        <f t="shared" si="55"/>
        <v>114.04278074866311</v>
      </c>
      <c r="G52" s="3441">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2620</v>
      </c>
      <c r="B53" s="2712">
        <v>138</v>
      </c>
      <c r="C53" s="2712">
        <v>131</v>
      </c>
      <c r="D53" s="2712">
        <f t="shared" si="28"/>
        <v>131</v>
      </c>
      <c r="E53" s="2712">
        <v>155</v>
      </c>
      <c r="F53" s="2713">
        <v>114</v>
      </c>
      <c r="G53" s="3439">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2621</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0">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2622</v>
      </c>
      <c r="B55" s="2698">
        <f t="shared" si="58"/>
        <v>124.29032258064517</v>
      </c>
      <c r="C55" s="2698">
        <f t="shared" si="58"/>
        <v>123.8968609865471</v>
      </c>
      <c r="D55" s="2698">
        <f t="shared" si="28"/>
        <v>123.8968609865471</v>
      </c>
      <c r="E55" s="2698">
        <f t="shared" si="59"/>
        <v>138.00507614213197</v>
      </c>
      <c r="F55" s="2698">
        <f t="shared" si="59"/>
        <v>107.96106557377048</v>
      </c>
      <c r="G55" s="3440">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2623</v>
      </c>
      <c r="B56" s="2698">
        <f t="shared" si="58"/>
        <v>122.57204301075269</v>
      </c>
      <c r="C56" s="2698">
        <f t="shared" si="58"/>
        <v>123.4932735426009</v>
      </c>
      <c r="D56" s="2698">
        <f t="shared" si="28"/>
        <v>123.4932735426009</v>
      </c>
      <c r="E56" s="2698">
        <f t="shared" si="59"/>
        <v>129.82233502538071</v>
      </c>
      <c r="F56" s="2698">
        <f t="shared" si="59"/>
        <v>107.39446721311475</v>
      </c>
      <c r="G56" s="3441">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2624</v>
      </c>
      <c r="B57" s="2728">
        <v>121</v>
      </c>
      <c r="C57" s="2728">
        <v>122</v>
      </c>
      <c r="D57" s="2728">
        <f t="shared" si="28"/>
        <v>122</v>
      </c>
      <c r="E57" s="2728">
        <v>124</v>
      </c>
      <c r="F57" s="2729">
        <v>107</v>
      </c>
      <c r="G57" s="3439">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2625</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0">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2626</v>
      </c>
      <c r="B59" s="2698">
        <f t="shared" si="62"/>
        <v>116.99099099099099</v>
      </c>
      <c r="C59" s="2698">
        <f t="shared" si="62"/>
        <v>118.84848484848486</v>
      </c>
      <c r="D59" s="2698">
        <f t="shared" si="28"/>
        <v>118.84848484848486</v>
      </c>
      <c r="E59" s="2698">
        <f t="shared" si="63"/>
        <v>117.60960960960961</v>
      </c>
      <c r="F59" s="2698">
        <f t="shared" si="63"/>
        <v>104</v>
      </c>
      <c r="G59" s="3440">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2627</v>
      </c>
      <c r="B60" s="2731">
        <f t="shared" si="62"/>
        <v>112.48648648648648</v>
      </c>
      <c r="C60" s="2731">
        <f t="shared" si="62"/>
        <v>115.21212121212122</v>
      </c>
      <c r="D60" s="2731">
        <f t="shared" si="28"/>
        <v>115.21212121212122</v>
      </c>
      <c r="E60" s="2731">
        <f t="shared" si="63"/>
        <v>110.4024024024024</v>
      </c>
      <c r="F60" s="2731">
        <f t="shared" si="63"/>
        <v>104</v>
      </c>
      <c r="G60" s="3441">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2628</v>
      </c>
      <c r="B61" s="2749">
        <v>111</v>
      </c>
      <c r="C61" s="2749">
        <v>114</v>
      </c>
      <c r="D61" s="2749">
        <f t="shared" si="28"/>
        <v>114</v>
      </c>
      <c r="E61" s="2749">
        <v>108</v>
      </c>
      <c r="F61" s="2750">
        <v>104</v>
      </c>
      <c r="G61" s="3439">
        <v>2003</v>
      </c>
      <c r="H61" s="2739">
        <v>4</v>
      </c>
      <c r="I61" s="2751"/>
      <c r="J61" s="2751"/>
      <c r="K61" s="2751"/>
      <c r="L61" s="2751"/>
      <c r="N61" s="2752"/>
      <c r="O61" s="2751"/>
      <c r="P61" s="2751"/>
      <c r="Q61" s="2751"/>
      <c r="S61" s="2752"/>
      <c r="T61" s="2751"/>
      <c r="U61" s="2751"/>
      <c r="V61" s="2751"/>
      <c r="X61" s="2743"/>
      <c r="Y61" s="2743"/>
      <c r="Z61" s="2743"/>
    </row>
    <row r="62" spans="1:26">
      <c r="A62" s="2684" t="s">
        <v>2629</v>
      </c>
      <c r="B62" s="2753">
        <f t="shared" ref="B62:C64" si="64">B63+(B$61-B$65)/4</f>
        <v>109.75</v>
      </c>
      <c r="C62" s="2753">
        <f t="shared" si="64"/>
        <v>112.25</v>
      </c>
      <c r="D62" s="2753">
        <f t="shared" si="28"/>
        <v>112.25</v>
      </c>
      <c r="E62" s="2753">
        <f t="shared" ref="E62:F64" si="65">E63+(E$61-E$65)/4</f>
        <v>107.25</v>
      </c>
      <c r="F62" s="2753">
        <f t="shared" si="65"/>
        <v>103.5</v>
      </c>
      <c r="G62" s="3440">
        <v>2003</v>
      </c>
      <c r="H62" s="2709">
        <v>3</v>
      </c>
      <c r="I62" s="2751"/>
      <c r="J62" s="2751"/>
      <c r="K62" s="2751"/>
      <c r="L62" s="2751"/>
      <c r="X62" s="2743"/>
      <c r="Y62" s="2743"/>
      <c r="Z62" s="2743"/>
    </row>
    <row r="63" spans="1:26">
      <c r="A63" s="2684" t="s">
        <v>2630</v>
      </c>
      <c r="B63" s="2753">
        <f t="shared" si="64"/>
        <v>108.5</v>
      </c>
      <c r="C63" s="2753">
        <f t="shared" si="64"/>
        <v>110.5</v>
      </c>
      <c r="D63" s="2753">
        <f t="shared" si="28"/>
        <v>110.5</v>
      </c>
      <c r="E63" s="2753">
        <f t="shared" si="65"/>
        <v>106.5</v>
      </c>
      <c r="F63" s="2753">
        <f t="shared" si="65"/>
        <v>103</v>
      </c>
      <c r="G63" s="3440">
        <v>2003</v>
      </c>
      <c r="H63" s="2689">
        <v>2</v>
      </c>
      <c r="I63" s="2751"/>
      <c r="J63" s="2751"/>
      <c r="K63" s="2751"/>
      <c r="L63" s="2751"/>
      <c r="X63" s="2743"/>
      <c r="Y63" s="2743"/>
      <c r="Z63" s="2743"/>
    </row>
    <row r="64" spans="1:26" ht="13.5" thickBot="1">
      <c r="A64" s="2684" t="s">
        <v>2631</v>
      </c>
      <c r="B64" s="2753">
        <f t="shared" si="64"/>
        <v>107.25</v>
      </c>
      <c r="C64" s="2753">
        <f t="shared" si="64"/>
        <v>108.75</v>
      </c>
      <c r="D64" s="2753">
        <f t="shared" si="28"/>
        <v>108.75</v>
      </c>
      <c r="E64" s="2753">
        <f t="shared" si="65"/>
        <v>105.75</v>
      </c>
      <c r="F64" s="2753">
        <f t="shared" si="65"/>
        <v>102.5</v>
      </c>
      <c r="G64" s="3441">
        <v>2003</v>
      </c>
      <c r="H64" s="2754">
        <v>1</v>
      </c>
      <c r="I64" s="2751"/>
      <c r="J64" s="2751"/>
      <c r="K64" s="2751"/>
      <c r="L64" s="2751"/>
      <c r="S64" s="2693"/>
      <c r="T64" s="2694"/>
      <c r="U64" s="2694"/>
      <c r="X64" s="2743"/>
      <c r="Y64" s="2743"/>
      <c r="Z64" s="2743"/>
    </row>
    <row r="65" spans="1:26" ht="13.5" thickBot="1">
      <c r="A65" s="2684" t="s">
        <v>2632</v>
      </c>
      <c r="B65" s="2755">
        <v>106</v>
      </c>
      <c r="C65" s="2755">
        <v>107</v>
      </c>
      <c r="D65" s="2755">
        <f t="shared" si="28"/>
        <v>107</v>
      </c>
      <c r="E65" s="2755">
        <v>105</v>
      </c>
      <c r="F65" s="2756">
        <v>102</v>
      </c>
      <c r="G65" s="3439">
        <v>2002</v>
      </c>
      <c r="H65" s="2704">
        <v>4</v>
      </c>
      <c r="I65" s="2751"/>
      <c r="J65" s="2751"/>
      <c r="K65" s="2751"/>
      <c r="L65" s="2751"/>
      <c r="N65" s="2752"/>
      <c r="O65" s="2751"/>
      <c r="P65" s="2751"/>
      <c r="Q65" s="2751"/>
      <c r="S65" s="2752"/>
      <c r="T65" s="2751"/>
      <c r="U65" s="2751"/>
      <c r="V65" s="2751"/>
      <c r="X65" s="2743"/>
      <c r="Y65" s="2743"/>
      <c r="Z65" s="2743"/>
    </row>
    <row r="66" spans="1:26">
      <c r="A66" s="2684" t="s">
        <v>2633</v>
      </c>
      <c r="B66" s="2753">
        <f t="shared" ref="B66:C68" si="66">B67+(B$65-B$69)/4</f>
        <v>105</v>
      </c>
      <c r="C66" s="2753">
        <f t="shared" si="66"/>
        <v>106</v>
      </c>
      <c r="D66" s="2753">
        <f t="shared" si="28"/>
        <v>106</v>
      </c>
      <c r="E66" s="2753">
        <f t="shared" ref="E66:F68" si="67">E67+(E$65-E$69)/4</f>
        <v>104.5</v>
      </c>
      <c r="F66" s="2753">
        <f t="shared" si="67"/>
        <v>101.5</v>
      </c>
      <c r="G66" s="3440">
        <v>2002</v>
      </c>
      <c r="H66" s="2709">
        <v>3</v>
      </c>
      <c r="I66" s="2751"/>
      <c r="J66" s="2751"/>
      <c r="K66" s="2751"/>
      <c r="L66" s="2751"/>
      <c r="X66" s="2743"/>
      <c r="Y66" s="2743"/>
      <c r="Z66" s="2743"/>
    </row>
    <row r="67" spans="1:26">
      <c r="A67" s="2684" t="s">
        <v>2634</v>
      </c>
      <c r="B67" s="2753">
        <f t="shared" si="66"/>
        <v>104</v>
      </c>
      <c r="C67" s="2753">
        <f t="shared" si="66"/>
        <v>105</v>
      </c>
      <c r="D67" s="2753">
        <f t="shared" si="28"/>
        <v>105</v>
      </c>
      <c r="E67" s="2753">
        <f t="shared" si="67"/>
        <v>104</v>
      </c>
      <c r="F67" s="2753">
        <f t="shared" si="67"/>
        <v>101</v>
      </c>
      <c r="G67" s="3440">
        <v>2002</v>
      </c>
      <c r="H67" s="2689">
        <v>2</v>
      </c>
      <c r="I67" s="2751"/>
      <c r="J67" s="2751"/>
      <c r="K67" s="2751"/>
      <c r="L67" s="2751"/>
      <c r="X67" s="2743"/>
      <c r="Y67" s="2743"/>
      <c r="Z67" s="2743"/>
    </row>
    <row r="68" spans="1:26" s="2720" customFormat="1" ht="13.5" thickBot="1">
      <c r="A68" s="2716" t="s">
        <v>2635</v>
      </c>
      <c r="B68" s="2757">
        <f t="shared" si="66"/>
        <v>103</v>
      </c>
      <c r="C68" s="2757">
        <f t="shared" si="66"/>
        <v>104</v>
      </c>
      <c r="D68" s="2757">
        <f t="shared" si="28"/>
        <v>104</v>
      </c>
      <c r="E68" s="2757">
        <f t="shared" si="67"/>
        <v>103.5</v>
      </c>
      <c r="F68" s="2757">
        <f t="shared" si="67"/>
        <v>100.5</v>
      </c>
      <c r="G68" s="3441">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2636</v>
      </c>
      <c r="G71" s="2767"/>
      <c r="N71" s="2767"/>
      <c r="S71" s="2767"/>
    </row>
    <row r="72" spans="1:26" s="2766" customFormat="1">
      <c r="A72" s="2766" t="s">
        <v>2637</v>
      </c>
      <c r="G72" s="2767"/>
      <c r="N72" s="2767"/>
      <c r="S72" s="2767"/>
    </row>
    <row r="73" spans="1:26" s="2766" customFormat="1">
      <c r="A73" s="2766" t="s">
        <v>2638</v>
      </c>
      <c r="G73" s="2767"/>
      <c r="I73" s="2768"/>
      <c r="J73" s="2768"/>
      <c r="K73" s="2768"/>
      <c r="L73" s="2768"/>
      <c r="N73" s="2769"/>
      <c r="O73" s="2768"/>
      <c r="P73" s="2768"/>
      <c r="Q73" s="2768"/>
      <c r="S73" s="2769"/>
      <c r="T73" s="2768"/>
      <c r="U73" s="2768"/>
      <c r="V73" s="2768"/>
    </row>
    <row r="74" spans="1:26" s="2766" customFormat="1">
      <c r="A74" s="2766" t="s">
        <v>2639</v>
      </c>
      <c r="G74" s="2767"/>
      <c r="N74" s="2767"/>
      <c r="S74" s="2767"/>
    </row>
    <row r="81" spans="7:22" ht="13.5" thickBot="1"/>
    <row r="82" spans="7:22">
      <c r="G82" s="2692"/>
      <c r="S82" s="2770" t="s">
        <v>2640</v>
      </c>
      <c r="T82" s="2771" t="s">
        <v>2641</v>
      </c>
      <c r="U82" s="2771" t="s">
        <v>2642</v>
      </c>
      <c r="V82" s="2771" t="s">
        <v>2643</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1679</v>
      </c>
      <c r="D1" s="3161" t="s">
        <v>953</v>
      </c>
      <c r="E1" s="2415" t="s">
        <v>871</v>
      </c>
      <c r="F1" s="2416">
        <f ca="1">J53</f>
        <v>45.06</v>
      </c>
      <c r="G1" s="776">
        <f>MATCH(C1,'数据-取费表'!A6:A16,0)+5</f>
        <v>6</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77693</v>
      </c>
      <c r="C2" s="2061"/>
      <c r="D2" s="2059"/>
      <c r="E2" s="2060"/>
      <c r="F2" s="2060"/>
      <c r="G2" s="1593"/>
      <c r="H2" s="2061"/>
      <c r="I2" s="2061"/>
      <c r="J2" s="2061"/>
      <c r="K2" s="2062"/>
      <c r="L2" s="2061"/>
      <c r="M2" s="2061"/>
    </row>
    <row r="3" spans="1:33" ht="18" customHeight="1" thickBot="1">
      <c r="A3" s="835" t="s">
        <v>520</v>
      </c>
      <c r="B3" s="836">
        <f ca="1">IF(ISERROR(B2*10000/F43),0,ROUND(B2*10000/F43,0))</f>
        <v>27943</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3659</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3654</v>
      </c>
      <c r="D6" s="2525" t="s">
        <v>2465</v>
      </c>
      <c r="E6" s="786" t="s">
        <v>638</v>
      </c>
      <c r="F6" s="787">
        <f ca="1">INDIRECT("'数据-取费表'!u"&amp;$G$1)</f>
        <v>4</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27804.46</v>
      </c>
      <c r="G7" s="1595"/>
      <c r="H7" s="2517"/>
      <c r="I7" s="3434"/>
      <c r="J7" s="790"/>
      <c r="K7" s="791"/>
      <c r="L7" s="786" t="s">
        <v>639</v>
      </c>
      <c r="M7" s="787">
        <f ca="1">F7</f>
        <v>27804.46</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5</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17546</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11606</v>
      </c>
      <c r="D14" s="3169" t="s">
        <v>1744</v>
      </c>
      <c r="E14" s="3170"/>
      <c r="F14" s="807"/>
      <c r="G14" s="1595"/>
      <c r="H14" s="1652" t="s">
        <v>1823</v>
      </c>
      <c r="I14" s="2235" t="s">
        <v>2831</v>
      </c>
      <c r="J14" s="53">
        <f ca="1">C29</f>
        <v>17546</v>
      </c>
      <c r="K14" s="26"/>
      <c r="L14" s="803"/>
      <c r="M14" s="804"/>
    </row>
    <row r="15" spans="1:33" s="2068" customFormat="1" ht="18" customHeight="1" thickBot="1">
      <c r="A15" s="1651" t="s">
        <v>1831</v>
      </c>
      <c r="B15" s="786" t="s">
        <v>648</v>
      </c>
      <c r="C15" s="53">
        <f ca="1">ROUND(C14*F15,0)</f>
        <v>348</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410</v>
      </c>
      <c r="K16" s="1825" t="s">
        <v>653</v>
      </c>
      <c r="L16" s="3171"/>
      <c r="M16" s="2519"/>
    </row>
    <row r="17" spans="1:33" s="2068" customFormat="1" ht="18" customHeight="1">
      <c r="A17" s="1651" t="s">
        <v>1886</v>
      </c>
      <c r="B17" s="786" t="s">
        <v>654</v>
      </c>
      <c r="C17" s="53">
        <f ca="1">ROUND(F17*(F43+INDIRECT("'数据-取费表'!S"&amp;$G$1))/10000,0)</f>
        <v>595</v>
      </c>
      <c r="D17" s="786" t="s">
        <v>655</v>
      </c>
      <c r="E17" s="786" t="s">
        <v>656</v>
      </c>
      <c r="F17" s="56">
        <f>'数据-取费表'!B35</f>
        <v>200</v>
      </c>
      <c r="G17" s="1596"/>
      <c r="H17" s="1652" t="s">
        <v>1823</v>
      </c>
      <c r="I17" s="786" t="s">
        <v>657</v>
      </c>
      <c r="J17" s="53">
        <f ca="1">ROUND(IF(项目基本情况!B11="自然人",J5*M17,J18+J19+J20),0)</f>
        <v>147</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174</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12723</v>
      </c>
      <c r="D19" s="260" t="s">
        <v>664</v>
      </c>
      <c r="E19" s="3173"/>
      <c r="F19" s="56"/>
      <c r="G19" s="1595"/>
      <c r="H19" s="1651" t="s">
        <v>1831</v>
      </c>
      <c r="I19" s="786" t="s">
        <v>665</v>
      </c>
      <c r="J19" s="53">
        <f ca="1">IF(K19="按租金收入计税",ROUND(J5*M19,1),ROUND(C29*F33*0.7,1))</f>
        <v>147.4</v>
      </c>
      <c r="K19" s="813" t="s">
        <v>666</v>
      </c>
      <c r="L19" s="786" t="s">
        <v>650</v>
      </c>
      <c r="M19" s="811">
        <f>IF(K19="按租金收入计税",'数据-取费表'!B51,'数据-取费表'!B50)</f>
        <v>1.2E-2</v>
      </c>
    </row>
    <row r="20" spans="1:33" s="2068" customFormat="1" ht="18" customHeight="1">
      <c r="A20" s="1652" t="s">
        <v>1888</v>
      </c>
      <c r="B20" s="786" t="s">
        <v>667</v>
      </c>
      <c r="C20" s="53">
        <f ca="1">ROUND(C19*F20,0)</f>
        <v>254</v>
      </c>
      <c r="D20" s="814" t="s">
        <v>1758</v>
      </c>
      <c r="E20" s="786" t="s">
        <v>650</v>
      </c>
      <c r="F20" s="811">
        <f>'数据-取费表'!B37</f>
        <v>0.02</v>
      </c>
      <c r="G20" s="1596"/>
      <c r="H20" s="1654" t="s">
        <v>1832</v>
      </c>
      <c r="I20" s="343" t="s">
        <v>1759</v>
      </c>
      <c r="J20" s="54">
        <f ca="1">ROUND(M20*M21/10000,0)</f>
        <v>0</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2973.54</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263</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616</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-410</v>
      </c>
      <c r="K25" s="2576" t="s">
        <v>701</v>
      </c>
      <c r="L25" s="2577"/>
      <c r="M25" s="2578"/>
    </row>
    <row r="26" spans="1:33" ht="18" customHeight="1">
      <c r="A26" s="1651" t="s">
        <v>1830</v>
      </c>
      <c r="B26" s="786" t="s">
        <v>2440</v>
      </c>
      <c r="C26" s="53">
        <f ca="1">ROUND((C19+C20)*F26,0)</f>
        <v>2595</v>
      </c>
      <c r="D26" s="814" t="s">
        <v>1777</v>
      </c>
      <c r="E26" s="797" t="s">
        <v>1778</v>
      </c>
      <c r="F26" s="796">
        <f ca="1">INDIRECT("'数据-取费表'!q"&amp;$G$1)</f>
        <v>0.2</v>
      </c>
      <c r="G26" s="1595"/>
      <c r="H26" s="2530" t="s">
        <v>1779</v>
      </c>
      <c r="I26" s="2236" t="s">
        <v>2833</v>
      </c>
      <c r="J26" s="785">
        <f ca="1">IF(J5&lt;&gt;0,ROUND(J25*(1-((1+M28)/(1+M26))^M27)/(M26-M28),0),0)</f>
        <v>0</v>
      </c>
      <c r="K26" s="816" t="s">
        <v>1780</v>
      </c>
      <c r="L26" s="786" t="s">
        <v>2421</v>
      </c>
      <c r="M26" s="796">
        <f ca="1">INDIRECT("'数据-取费表'!I"&amp;$G$1)</f>
        <v>0.06</v>
      </c>
    </row>
    <row r="27" spans="1:33" ht="18" customHeight="1">
      <c r="A27" s="1651" t="s">
        <v>1831</v>
      </c>
      <c r="B27" s="786" t="s">
        <v>687</v>
      </c>
      <c r="C27" s="53">
        <f ca="1">ROUND(F21*F26,4)</f>
        <v>4.0000000000000001E-3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17546</v>
      </c>
      <c r="D29" s="2573"/>
      <c r="E29" s="2574"/>
      <c r="F29" s="2575"/>
      <c r="G29" s="1596"/>
      <c r="H29" s="825" t="s">
        <v>1786</v>
      </c>
      <c r="I29" s="826" t="s">
        <v>1787</v>
      </c>
      <c r="J29" s="827">
        <f ca="1">ROUND(J26/(1+F40)^F41,0)</f>
        <v>0</v>
      </c>
      <c r="K29" s="828" t="s">
        <v>1788</v>
      </c>
      <c r="L29" s="829"/>
      <c r="M29" s="830">
        <f ca="1">INDIRECT("'数据-取费表'!k"&amp;$G$1)</f>
        <v>27804.46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711</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339.5</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191.7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147.4</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0.4</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2973.54</v>
      </c>
      <c r="G35" s="2066"/>
      <c r="H35" s="2069"/>
      <c r="I35" s="839" t="s">
        <v>1813</v>
      </c>
      <c r="J35" s="840">
        <f ca="1">ROUND(C13*J36,0)</f>
        <v>1491</v>
      </c>
      <c r="K35" s="2082"/>
      <c r="L35" s="2081"/>
      <c r="M35" s="2081"/>
    </row>
    <row r="36" spans="1:18" ht="18" customHeight="1">
      <c r="A36" s="1652" t="s">
        <v>1888</v>
      </c>
      <c r="B36" s="786" t="s">
        <v>677</v>
      </c>
      <c r="C36" s="53">
        <f ca="1">ROUND(C29*F36,1)</f>
        <v>263.2</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35.1</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73.2</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2948</v>
      </c>
      <c r="D39" s="2576" t="s">
        <v>701</v>
      </c>
      <c r="E39" s="2577"/>
      <c r="F39" s="2578"/>
      <c r="G39" s="2066"/>
      <c r="H39" s="2081"/>
      <c r="I39" s="839" t="s">
        <v>1817</v>
      </c>
      <c r="J39" s="847">
        <f ca="1">ROUND(J35/C39,3)</f>
        <v>0.50600000000000001</v>
      </c>
      <c r="K39" s="2087"/>
      <c r="L39" s="2081"/>
      <c r="M39" s="2081"/>
    </row>
    <row r="40" spans="1:18" ht="18" customHeight="1">
      <c r="A40" s="783" t="s">
        <v>1779</v>
      </c>
      <c r="B40" s="2236" t="s">
        <v>2302</v>
      </c>
      <c r="C40" s="785">
        <f ca="1">ROUND(C39*(1-((1+F42)/(1+F40))^F41)/(F40-F42),0)</f>
        <v>77693</v>
      </c>
      <c r="D40" s="816" t="s">
        <v>1780</v>
      </c>
      <c r="E40" s="786" t="s">
        <v>2421</v>
      </c>
      <c r="F40" s="796">
        <f ca="1">INDIRECT("'数据-取费表'!I"&amp;$G$1)</f>
        <v>0.06</v>
      </c>
      <c r="G40" s="2066"/>
      <c r="H40" s="2066"/>
      <c r="I40" s="839" t="s">
        <v>1818</v>
      </c>
      <c r="J40" s="847">
        <f ca="1">1-J39</f>
        <v>0.49399999999999999</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45.06</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0.22600000000000001</v>
      </c>
      <c r="K42" s="2086"/>
      <c r="L42" s="1992"/>
      <c r="M42" s="1992"/>
    </row>
    <row r="43" spans="1:18" ht="18" customHeight="1" thickBot="1">
      <c r="A43" s="825" t="s">
        <v>1786</v>
      </c>
      <c r="B43" s="826" t="s">
        <v>1809</v>
      </c>
      <c r="C43" s="827">
        <f ca="1">ROUND(C40*10000/F43,0)</f>
        <v>27943</v>
      </c>
      <c r="D43" s="828" t="s">
        <v>1810</v>
      </c>
      <c r="E43" s="829" t="s">
        <v>1811</v>
      </c>
      <c r="F43" s="830">
        <f ca="1">INDIRECT("'数据-取费表'!k"&amp;$G$1)</f>
        <v>27804.46</v>
      </c>
      <c r="G43" s="2066"/>
      <c r="H43" s="1992"/>
      <c r="I43" s="849" t="s">
        <v>1821</v>
      </c>
      <c r="J43" s="850">
        <f ca="1">1-J42</f>
        <v>0.77400000000000002</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-84588</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45.06</v>
      </c>
      <c r="O48" s="2426" t="s">
        <v>2381</v>
      </c>
      <c r="P48" s="2427" t="s">
        <v>2407</v>
      </c>
      <c r="Q48" s="2428">
        <f ca="1">C40+J29</f>
        <v>77693</v>
      </c>
      <c r="R48" s="2427" t="s">
        <v>2382</v>
      </c>
    </row>
    <row r="49" spans="1:18" s="2063" customFormat="1" ht="18" customHeight="1" thickBot="1">
      <c r="A49" s="788"/>
      <c r="B49" s="789"/>
      <c r="C49" s="790"/>
      <c r="D49" s="791"/>
      <c r="E49" s="786" t="s">
        <v>639</v>
      </c>
      <c r="F49" s="787">
        <f ca="1">F7</f>
        <v>27804.46</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17546</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25899</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45.06</v>
      </c>
      <c r="K53" s="3449" t="s">
        <v>2976</v>
      </c>
      <c r="L53" s="3450"/>
      <c r="O53" s="2429" t="s">
        <v>2390</v>
      </c>
      <c r="P53" s="2427" t="s">
        <v>2391</v>
      </c>
      <c r="Q53" s="2428">
        <f ca="1">J53</f>
        <v>45.06</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77693</v>
      </c>
      <c r="R54" s="2431" t="s">
        <v>2394</v>
      </c>
    </row>
    <row r="55" spans="1:18" s="2063" customFormat="1" ht="18" customHeight="1" thickTop="1" thickBot="1">
      <c r="A55" s="799">
        <v>2</v>
      </c>
      <c r="B55" s="800" t="s">
        <v>645</v>
      </c>
      <c r="C55" s="801">
        <f ca="1">C13</f>
        <v>17546</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17546</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446</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77693</v>
      </c>
      <c r="R57" s="2427" t="s">
        <v>2382</v>
      </c>
    </row>
    <row r="58" spans="1:18" s="2063" customFormat="1" ht="28.5" customHeight="1" thickBot="1">
      <c r="A58" s="1652" t="s">
        <v>1823</v>
      </c>
      <c r="B58" s="786" t="s">
        <v>657</v>
      </c>
      <c r="C58" s="53">
        <f ca="1">ROUND(IF(项目基本情况!B11="自然人",C47*F58,C59+C60+C61),1)</f>
        <v>147.80000000000001</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147.4</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0.4</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2973.54</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263.2</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77693</v>
      </c>
      <c r="R63" s="2431" t="s">
        <v>2394</v>
      </c>
    </row>
    <row r="64" spans="1:18" s="2063" customFormat="1" ht="16.5" thickBot="1">
      <c r="A64" s="1652" t="s">
        <v>1889</v>
      </c>
      <c r="B64" s="786" t="s">
        <v>680</v>
      </c>
      <c r="C64" s="53">
        <f ca="1">ROUND(C55*F64,1)</f>
        <v>35.1</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-446</v>
      </c>
      <c r="D66" s="3169" t="s">
        <v>701</v>
      </c>
      <c r="E66" s="3172"/>
      <c r="F66" s="822"/>
      <c r="K66" s="2090"/>
      <c r="O66" s="2426" t="s">
        <v>2381</v>
      </c>
      <c r="P66" s="2427" t="s">
        <v>2407</v>
      </c>
      <c r="Q66" s="2428">
        <f ca="1">C40+J29</f>
        <v>77693</v>
      </c>
      <c r="R66" s="2427" t="s">
        <v>2382</v>
      </c>
    </row>
    <row r="67" spans="1:18" s="2063" customFormat="1" ht="20.25" thickBot="1">
      <c r="A67" s="783" t="s">
        <v>1779</v>
      </c>
      <c r="B67" s="2236" t="s">
        <v>2302</v>
      </c>
      <c r="C67" s="785">
        <f ca="1">ROUND(C66*(1-((1+F69)/(1+F67))^F68)/(F67-F69),0)</f>
        <v>-6895</v>
      </c>
      <c r="D67" s="816" t="s">
        <v>705</v>
      </c>
      <c r="E67" s="786" t="s">
        <v>706</v>
      </c>
      <c r="F67" s="796">
        <f ca="1">F40</f>
        <v>0.06</v>
      </c>
      <c r="K67" s="2090"/>
      <c r="O67" s="2426" t="s">
        <v>2383</v>
      </c>
      <c r="P67" s="2427" t="s">
        <v>2414</v>
      </c>
      <c r="Q67" s="2428">
        <f ca="1">L60</f>
        <v>0</v>
      </c>
      <c r="R67" s="2431" t="s">
        <v>2416</v>
      </c>
    </row>
    <row r="68" spans="1:18" ht="21.75" thickBot="1">
      <c r="A68" s="788"/>
      <c r="B68" s="789"/>
      <c r="C68" s="790"/>
      <c r="D68" s="823" t="s">
        <v>1807</v>
      </c>
      <c r="E68" s="786" t="s">
        <v>1783</v>
      </c>
      <c r="F68" s="824">
        <f ca="1">F41</f>
        <v>45.06</v>
      </c>
      <c r="O68" s="2429" t="s">
        <v>2385</v>
      </c>
      <c r="P68" s="2427" t="s">
        <v>2415</v>
      </c>
      <c r="Q68" s="2433">
        <f ca="1">L51</f>
        <v>25899</v>
      </c>
      <c r="R68" s="2434" t="s">
        <v>2418</v>
      </c>
    </row>
    <row r="69" spans="1:18" ht="20.25" thickBot="1">
      <c r="A69" s="792"/>
      <c r="B69" s="793"/>
      <c r="C69" s="794"/>
      <c r="D69" s="818"/>
      <c r="E69" s="786" t="s">
        <v>711</v>
      </c>
      <c r="F69" s="2375"/>
      <c r="O69" s="2429" t="s">
        <v>2386</v>
      </c>
      <c r="P69" s="2435" t="s">
        <v>2400</v>
      </c>
      <c r="Q69" s="2428">
        <f ca="1">ROUND(Q70-Q71*Q72,0)</f>
        <v>1457</v>
      </c>
      <c r="R69" s="2431"/>
    </row>
    <row r="70" spans="1:18" ht="15.75" thickBot="1">
      <c r="A70" s="825" t="s">
        <v>1786</v>
      </c>
      <c r="B70" s="826" t="s">
        <v>1809</v>
      </c>
      <c r="C70" s="827">
        <f ca="1">ROUND(C67*10000/F70,0)</f>
        <v>-2480</v>
      </c>
      <c r="D70" s="828" t="s">
        <v>1810</v>
      </c>
      <c r="E70" s="829" t="s">
        <v>1811</v>
      </c>
      <c r="F70" s="830">
        <f ca="1">F43</f>
        <v>27804.46</v>
      </c>
      <c r="O70" s="2429" t="s">
        <v>2401</v>
      </c>
      <c r="P70" s="2435" t="s">
        <v>2402</v>
      </c>
      <c r="Q70" s="2428">
        <f ca="1">C39</f>
        <v>2948</v>
      </c>
      <c r="R70" s="2427" t="s">
        <v>2382</v>
      </c>
    </row>
    <row r="71" spans="1:18" ht="15.75" thickBot="1">
      <c r="O71" s="2429" t="s">
        <v>2403</v>
      </c>
      <c r="P71" s="2435" t="s">
        <v>2404</v>
      </c>
      <c r="Q71" s="2428">
        <f ca="1">C13</f>
        <v>17546</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77693</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8" sqref="I2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2984</v>
      </c>
      <c r="D1" s="3161" t="s">
        <v>953</v>
      </c>
      <c r="E1" s="2415" t="s">
        <v>871</v>
      </c>
      <c r="F1" s="2416">
        <f ca="1">J53</f>
        <v>35.049999999999997</v>
      </c>
      <c r="G1" s="776">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118562</v>
      </c>
      <c r="C2" s="2061"/>
      <c r="D2" s="2059"/>
      <c r="E2" s="2060"/>
      <c r="F2" s="2060"/>
      <c r="G2" s="1593"/>
      <c r="H2" s="2061"/>
      <c r="I2" s="2061"/>
      <c r="J2" s="2061"/>
      <c r="K2" s="2062"/>
      <c r="L2" s="2061"/>
      <c r="M2" s="2061"/>
    </row>
    <row r="3" spans="1:33" ht="18" customHeight="1" thickBot="1">
      <c r="A3" s="835" t="s">
        <v>520</v>
      </c>
      <c r="B3" s="836">
        <f ca="1">IF(ISERROR(B2*10000/F43),0,ROUND(B2*10000/F43,0))</f>
        <v>26077</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6880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6870</v>
      </c>
      <c r="D6" s="2525" t="s">
        <v>2465</v>
      </c>
      <c r="E6" s="786" t="s">
        <v>638</v>
      </c>
      <c r="F6" s="787">
        <f ca="1">INDIRECT("'数据-取费表'!u"&amp;$G$1)</f>
        <v>4.5999999999999996</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45465.4</v>
      </c>
      <c r="G7" s="1595"/>
      <c r="H7" s="2517"/>
      <c r="I7" s="3434"/>
      <c r="J7" s="790"/>
      <c r="K7" s="791"/>
      <c r="L7" s="786" t="s">
        <v>639</v>
      </c>
      <c r="M7" s="787">
        <f ca="1">F7</f>
        <v>45465.4</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10</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29875</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18977</v>
      </c>
      <c r="D14" s="3169" t="s">
        <v>1744</v>
      </c>
      <c r="E14" s="3170"/>
      <c r="F14" s="807"/>
      <c r="G14" s="1595"/>
      <c r="H14" s="1652" t="s">
        <v>1823</v>
      </c>
      <c r="I14" s="2235" t="s">
        <v>2831</v>
      </c>
      <c r="J14" s="53">
        <f ca="1">C29</f>
        <v>29875</v>
      </c>
      <c r="K14" s="26"/>
      <c r="L14" s="803"/>
      <c r="M14" s="804"/>
    </row>
    <row r="15" spans="1:33" s="2068" customFormat="1" ht="18" customHeight="1" thickBot="1">
      <c r="A15" s="1651" t="s">
        <v>1831</v>
      </c>
      <c r="B15" s="786" t="s">
        <v>648</v>
      </c>
      <c r="C15" s="53">
        <f ca="1">ROUND(C14*F15,0)</f>
        <v>569</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700</v>
      </c>
      <c r="K16" s="1825" t="s">
        <v>653</v>
      </c>
      <c r="L16" s="3171"/>
      <c r="M16" s="2519"/>
    </row>
    <row r="17" spans="1:33" s="2068" customFormat="1" ht="18" customHeight="1">
      <c r="A17" s="1651" t="s">
        <v>1886</v>
      </c>
      <c r="B17" s="786" t="s">
        <v>654</v>
      </c>
      <c r="C17" s="53">
        <f ca="1">ROUND(F17*(F43+INDIRECT("'数据-取费表'!S"&amp;$G$1))/10000,0)</f>
        <v>973</v>
      </c>
      <c r="D17" s="786" t="s">
        <v>655</v>
      </c>
      <c r="E17" s="786" t="s">
        <v>656</v>
      </c>
      <c r="F17" s="56">
        <f>'数据-取费表'!B35</f>
        <v>200</v>
      </c>
      <c r="G17" s="1596"/>
      <c r="H17" s="1652" t="s">
        <v>1823</v>
      </c>
      <c r="I17" s="786" t="s">
        <v>657</v>
      </c>
      <c r="J17" s="53">
        <f ca="1">ROUND(IF(项目基本情况!B11="自然人",J5*M17,J18+J19+J20),0)</f>
        <v>252</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285</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20804</v>
      </c>
      <c r="D19" s="260" t="s">
        <v>664</v>
      </c>
      <c r="E19" s="3173"/>
      <c r="F19" s="56"/>
      <c r="G19" s="1595"/>
      <c r="H19" s="1651" t="s">
        <v>1831</v>
      </c>
      <c r="I19" s="786" t="s">
        <v>665</v>
      </c>
      <c r="J19" s="53">
        <f ca="1">IF(K19="按租金收入计税",ROUND(J5*M19,1),ROUND(C29*F33*0.7,1))</f>
        <v>251</v>
      </c>
      <c r="K19" s="813" t="s">
        <v>666</v>
      </c>
      <c r="L19" s="786" t="s">
        <v>650</v>
      </c>
      <c r="M19" s="811">
        <f>IF(K19="按租金收入计税",'数据-取费表'!B51,'数据-取费表'!B50)</f>
        <v>1.2E-2</v>
      </c>
    </row>
    <row r="20" spans="1:33" s="2068" customFormat="1" ht="18" customHeight="1">
      <c r="A20" s="1652" t="s">
        <v>1888</v>
      </c>
      <c r="B20" s="786" t="s">
        <v>667</v>
      </c>
      <c r="C20" s="53">
        <f ca="1">ROUND(C19*F20,0)</f>
        <v>416</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4862.29</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448</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1008</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-700</v>
      </c>
      <c r="K25" s="2576" t="s">
        <v>701</v>
      </c>
      <c r="L25" s="2577"/>
      <c r="M25" s="2578"/>
    </row>
    <row r="26" spans="1:33" ht="18" customHeight="1">
      <c r="A26" s="1651" t="s">
        <v>1830</v>
      </c>
      <c r="B26" s="786" t="s">
        <v>2440</v>
      </c>
      <c r="C26" s="53">
        <f ca="1">ROUND((C19+C20)*F26,0)</f>
        <v>5305</v>
      </c>
      <c r="D26" s="814" t="s">
        <v>1777</v>
      </c>
      <c r="E26" s="797" t="s">
        <v>1778</v>
      </c>
      <c r="F26" s="796">
        <f ca="1">INDIRECT("'数据-取费表'!q"&amp;$G$1)</f>
        <v>0.25</v>
      </c>
      <c r="G26" s="1595"/>
      <c r="H26" s="2530" t="s">
        <v>1779</v>
      </c>
      <c r="I26" s="2236" t="s">
        <v>2833</v>
      </c>
      <c r="J26" s="785">
        <f ca="1">IF(J5&lt;&gt;0,ROUND(J25*(1-((1+M28)/(1+M26))^M27)/(M26-M28),0),0)</f>
        <v>0</v>
      </c>
      <c r="K26" s="816" t="s">
        <v>1780</v>
      </c>
      <c r="L26" s="786" t="s">
        <v>2421</v>
      </c>
      <c r="M26" s="796">
        <f ca="1">INDIRECT("'数据-取费表'!I"&amp;$G$1)</f>
        <v>6.5000000000000002E-2</v>
      </c>
    </row>
    <row r="27" spans="1:33" ht="18" customHeight="1">
      <c r="A27" s="1651" t="s">
        <v>1831</v>
      </c>
      <c r="B27" s="786" t="s">
        <v>687</v>
      </c>
      <c r="C27" s="53">
        <f ca="1">ROUND(F21*F26,4)</f>
        <v>5.0000000000000001E-3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29875</v>
      </c>
      <c r="D29" s="2573"/>
      <c r="E29" s="2574"/>
      <c r="F29" s="2575"/>
      <c r="G29" s="1596"/>
      <c r="H29" s="825" t="s">
        <v>1786</v>
      </c>
      <c r="I29" s="826" t="s">
        <v>1787</v>
      </c>
      <c r="J29" s="827">
        <f ca="1">ROUND(J26/(1+F40)^F41,0)</f>
        <v>0</v>
      </c>
      <c r="K29" s="828" t="s">
        <v>1788</v>
      </c>
      <c r="L29" s="829"/>
      <c r="M29" s="830">
        <f ca="1">INDIRECT("'数据-取费表'!k"&amp;$G$1)</f>
        <v>45465.4</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1258</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612.1</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360.4</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251</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0.7</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4862.29</v>
      </c>
      <c r="G35" s="2066"/>
      <c r="H35" s="2069"/>
      <c r="I35" s="839" t="s">
        <v>1813</v>
      </c>
      <c r="J35" s="840">
        <f ca="1">ROUND(C13*J36,0)</f>
        <v>2539</v>
      </c>
      <c r="K35" s="2082"/>
      <c r="L35" s="2081"/>
      <c r="M35" s="2081"/>
    </row>
    <row r="36" spans="1:18" ht="18" customHeight="1">
      <c r="A36" s="1652" t="s">
        <v>1888</v>
      </c>
      <c r="B36" s="786" t="s">
        <v>677</v>
      </c>
      <c r="C36" s="53">
        <f ca="1">ROUND(C29*F36,1)</f>
        <v>448.1</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59.8</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137.6</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5622</v>
      </c>
      <c r="D39" s="2576" t="s">
        <v>701</v>
      </c>
      <c r="E39" s="2577"/>
      <c r="F39" s="2578"/>
      <c r="G39" s="2066"/>
      <c r="H39" s="2081"/>
      <c r="I39" s="839" t="s">
        <v>1817</v>
      </c>
      <c r="J39" s="847">
        <f ca="1">ROUND(J35/C39,3)</f>
        <v>0.45200000000000001</v>
      </c>
      <c r="K39" s="2087"/>
      <c r="L39" s="2081"/>
      <c r="M39" s="2081"/>
    </row>
    <row r="40" spans="1:18" ht="18" customHeight="1">
      <c r="A40" s="783" t="s">
        <v>1779</v>
      </c>
      <c r="B40" s="2236" t="s">
        <v>2302</v>
      </c>
      <c r="C40" s="785">
        <f ca="1">ROUND(C39*(1-((1+F42)/(1+F40))^F41)/(F40-F42),0)</f>
        <v>118562</v>
      </c>
      <c r="D40" s="816" t="s">
        <v>1780</v>
      </c>
      <c r="E40" s="786" t="s">
        <v>2421</v>
      </c>
      <c r="F40" s="796">
        <f ca="1">INDIRECT("'数据-取费表'!I"&amp;$G$1)</f>
        <v>6.5000000000000002E-2</v>
      </c>
      <c r="G40" s="2066"/>
      <c r="H40" s="2066"/>
      <c r="I40" s="839" t="s">
        <v>1818</v>
      </c>
      <c r="J40" s="847">
        <f ca="1">1-J39</f>
        <v>0.54800000000000004</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35.049999999999997</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0.252</v>
      </c>
      <c r="K42" s="2086"/>
      <c r="L42" s="1992"/>
      <c r="M42" s="1992"/>
    </row>
    <row r="43" spans="1:18" ht="18" customHeight="1" thickBot="1">
      <c r="A43" s="825" t="s">
        <v>1786</v>
      </c>
      <c r="B43" s="826" t="s">
        <v>1809</v>
      </c>
      <c r="C43" s="827">
        <f ca="1">ROUND(C40*10000/F43,0)</f>
        <v>26077</v>
      </c>
      <c r="D43" s="828" t="s">
        <v>1810</v>
      </c>
      <c r="E43" s="829" t="s">
        <v>1811</v>
      </c>
      <c r="F43" s="830">
        <f ca="1">INDIRECT("'数据-取费表'!k"&amp;$G$1)</f>
        <v>45465.4</v>
      </c>
      <c r="G43" s="2066"/>
      <c r="H43" s="1992"/>
      <c r="I43" s="849" t="s">
        <v>1821</v>
      </c>
      <c r="J43" s="850">
        <f ca="1">1-J42</f>
        <v>0.748</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-128968</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40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35.049999999999997</v>
      </c>
      <c r="O48" s="2426" t="s">
        <v>2381</v>
      </c>
      <c r="P48" s="2427" t="s">
        <v>2407</v>
      </c>
      <c r="Q48" s="2428">
        <f ca="1">C40+J29</f>
        <v>118562</v>
      </c>
      <c r="R48" s="2427" t="s">
        <v>2382</v>
      </c>
    </row>
    <row r="49" spans="1:18" s="2063" customFormat="1" ht="18" customHeight="1" thickBot="1">
      <c r="A49" s="788"/>
      <c r="B49" s="789"/>
      <c r="C49" s="790"/>
      <c r="D49" s="791"/>
      <c r="E49" s="786" t="s">
        <v>639</v>
      </c>
      <c r="F49" s="787">
        <f ca="1">F7</f>
        <v>45465.4</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29875</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47466</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35.049999999999997</v>
      </c>
      <c r="K53" s="3449" t="s">
        <v>2976</v>
      </c>
      <c r="L53" s="3450"/>
      <c r="O53" s="2429" t="s">
        <v>2390</v>
      </c>
      <c r="P53" s="2427" t="s">
        <v>2391</v>
      </c>
      <c r="Q53" s="2428">
        <f ca="1">J53</f>
        <v>35.049999999999997</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118562</v>
      </c>
      <c r="R54" s="2431" t="s">
        <v>2394</v>
      </c>
    </row>
    <row r="55" spans="1:18" s="2063" customFormat="1" ht="18" customHeight="1" thickTop="1" thickBot="1">
      <c r="A55" s="799">
        <v>2</v>
      </c>
      <c r="B55" s="800" t="s">
        <v>645</v>
      </c>
      <c r="C55" s="801">
        <f ca="1">C13</f>
        <v>29875</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29875</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760</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118562</v>
      </c>
      <c r="R57" s="2427" t="s">
        <v>2382</v>
      </c>
    </row>
    <row r="58" spans="1:18" s="2063" customFormat="1" ht="28.5" customHeight="1" thickBot="1">
      <c r="A58" s="1652" t="s">
        <v>1823</v>
      </c>
      <c r="B58" s="786" t="s">
        <v>657</v>
      </c>
      <c r="C58" s="53">
        <f ca="1">ROUND(IF(项目基本情况!B11="自然人",C47*F58,C59+C60+C61),1)</f>
        <v>251.7</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251</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0.7</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4862.29</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448.1</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118562</v>
      </c>
      <c r="R63" s="2431" t="s">
        <v>2394</v>
      </c>
    </row>
    <row r="64" spans="1:18" s="2063" customFormat="1" ht="16.5" thickBot="1">
      <c r="A64" s="1652" t="s">
        <v>1889</v>
      </c>
      <c r="B64" s="786" t="s">
        <v>680</v>
      </c>
      <c r="C64" s="53">
        <f ca="1">ROUND(C55*F64,1)</f>
        <v>59.8</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-760</v>
      </c>
      <c r="D66" s="3169" t="s">
        <v>701</v>
      </c>
      <c r="E66" s="3172"/>
      <c r="F66" s="822"/>
      <c r="K66" s="2090"/>
      <c r="O66" s="2426" t="s">
        <v>2381</v>
      </c>
      <c r="P66" s="2427" t="s">
        <v>2407</v>
      </c>
      <c r="Q66" s="2428">
        <f ca="1">C40+J29</f>
        <v>118562</v>
      </c>
      <c r="R66" s="2427" t="s">
        <v>2382</v>
      </c>
    </row>
    <row r="67" spans="1:18" s="2063" customFormat="1" ht="20.25" thickBot="1">
      <c r="A67" s="783" t="s">
        <v>1779</v>
      </c>
      <c r="B67" s="2236" t="s">
        <v>2302</v>
      </c>
      <c r="C67" s="785">
        <f ca="1">ROUND(C66*(1-((1+F69)/(1+F67))^F68)/(F67-F69),0)</f>
        <v>-10406</v>
      </c>
      <c r="D67" s="816" t="s">
        <v>705</v>
      </c>
      <c r="E67" s="786" t="s">
        <v>706</v>
      </c>
      <c r="F67" s="796">
        <f ca="1">F40</f>
        <v>6.5000000000000002E-2</v>
      </c>
      <c r="K67" s="2090"/>
      <c r="O67" s="2426" t="s">
        <v>2383</v>
      </c>
      <c r="P67" s="2427" t="s">
        <v>2414</v>
      </c>
      <c r="Q67" s="2428">
        <f ca="1">L60</f>
        <v>0</v>
      </c>
      <c r="R67" s="2431" t="s">
        <v>2416</v>
      </c>
    </row>
    <row r="68" spans="1:18" ht="21.75" thickBot="1">
      <c r="A68" s="788"/>
      <c r="B68" s="789"/>
      <c r="C68" s="790"/>
      <c r="D68" s="823" t="s">
        <v>1807</v>
      </c>
      <c r="E68" s="786" t="s">
        <v>1783</v>
      </c>
      <c r="F68" s="824">
        <f ca="1">F41</f>
        <v>35.049999999999997</v>
      </c>
      <c r="O68" s="2429" t="s">
        <v>2385</v>
      </c>
      <c r="P68" s="2427" t="s">
        <v>2415</v>
      </c>
      <c r="Q68" s="2433">
        <f ca="1">L51</f>
        <v>47466</v>
      </c>
      <c r="R68" s="2434" t="s">
        <v>2418</v>
      </c>
    </row>
    <row r="69" spans="1:18" ht="20.25" thickBot="1">
      <c r="A69" s="792"/>
      <c r="B69" s="793"/>
      <c r="C69" s="794"/>
      <c r="D69" s="818"/>
      <c r="E69" s="786" t="s">
        <v>711</v>
      </c>
      <c r="F69" s="2375"/>
      <c r="O69" s="2429" t="s">
        <v>2386</v>
      </c>
      <c r="P69" s="2435" t="s">
        <v>2400</v>
      </c>
      <c r="Q69" s="2428">
        <f ca="1">ROUND(Q70-Q71*Q72,0)</f>
        <v>3083</v>
      </c>
      <c r="R69" s="2431"/>
    </row>
    <row r="70" spans="1:18" ht="15.75" thickBot="1">
      <c r="A70" s="825" t="s">
        <v>1786</v>
      </c>
      <c r="B70" s="826" t="s">
        <v>1809</v>
      </c>
      <c r="C70" s="827">
        <f ca="1">ROUND(C67*10000/F70,0)</f>
        <v>-2289</v>
      </c>
      <c r="D70" s="828" t="s">
        <v>1810</v>
      </c>
      <c r="E70" s="829" t="s">
        <v>1811</v>
      </c>
      <c r="F70" s="830">
        <f ca="1">F43</f>
        <v>45465.4</v>
      </c>
      <c r="O70" s="2429" t="s">
        <v>2401</v>
      </c>
      <c r="P70" s="2435" t="s">
        <v>2402</v>
      </c>
      <c r="Q70" s="2428">
        <f ca="1">C39</f>
        <v>5622</v>
      </c>
      <c r="R70" s="2427" t="s">
        <v>2382</v>
      </c>
    </row>
    <row r="71" spans="1:18" ht="15.75" thickBot="1">
      <c r="O71" s="2429" t="s">
        <v>2403</v>
      </c>
      <c r="P71" s="2435" t="s">
        <v>2404</v>
      </c>
      <c r="Q71" s="2428">
        <f ca="1">C13</f>
        <v>29875</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118562</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3" sqref="E23"/>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35</v>
      </c>
      <c r="D1" s="3161" t="s">
        <v>953</v>
      </c>
      <c r="E1" s="2415" t="s">
        <v>2376</v>
      </c>
      <c r="F1" s="2416">
        <f ca="1">J53</f>
        <v>45.06</v>
      </c>
      <c r="G1" s="776">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1725</v>
      </c>
      <c r="B2" s="777">
        <f ca="1">C40+J29+L46</f>
        <v>5458</v>
      </c>
      <c r="C2" s="2061"/>
      <c r="D2" s="2059"/>
      <c r="E2" s="2060"/>
      <c r="F2" s="2060"/>
      <c r="G2" s="1593"/>
      <c r="H2" s="2061"/>
      <c r="I2" s="2061"/>
      <c r="J2" s="2061"/>
      <c r="K2" s="2062"/>
      <c r="L2" s="2061"/>
      <c r="M2" s="2061"/>
    </row>
    <row r="3" spans="1:33" ht="18" customHeight="1" thickBot="1">
      <c r="A3" s="835" t="s">
        <v>1726</v>
      </c>
      <c r="B3" s="836">
        <f ca="1">IF(ISERROR(B2*10000/F43),0,ROUND(B2*10000/F43,0))</f>
        <v>3460</v>
      </c>
      <c r="C3" s="2061"/>
      <c r="D3" s="2059"/>
      <c r="E3" s="2060"/>
      <c r="F3" s="2060"/>
      <c r="G3" s="1593"/>
      <c r="H3" s="778" t="s">
        <v>696</v>
      </c>
      <c r="I3" s="1365"/>
      <c r="J3" s="1365"/>
      <c r="K3" s="1594"/>
      <c r="L3" s="1365"/>
      <c r="M3" s="1365"/>
    </row>
    <row r="4" spans="1:33" ht="18" customHeight="1">
      <c r="A4" s="779" t="s">
        <v>1727</v>
      </c>
      <c r="B4" s="780" t="s">
        <v>1728</v>
      </c>
      <c r="C4" s="780" t="s">
        <v>1729</v>
      </c>
      <c r="D4" s="780" t="s">
        <v>634</v>
      </c>
      <c r="E4" s="781" t="s">
        <v>1730</v>
      </c>
      <c r="F4" s="782"/>
      <c r="G4" s="1595"/>
      <c r="H4" s="779" t="s">
        <v>1731</v>
      </c>
      <c r="I4" s="780" t="s">
        <v>1732</v>
      </c>
      <c r="J4" s="780" t="s">
        <v>1733</v>
      </c>
      <c r="K4" s="780" t="s">
        <v>1734</v>
      </c>
      <c r="L4" s="781" t="s">
        <v>1735</v>
      </c>
      <c r="M4" s="782"/>
    </row>
    <row r="5" spans="1:33" ht="18" customHeight="1">
      <c r="A5" s="783">
        <v>1</v>
      </c>
      <c r="B5" s="784" t="s">
        <v>2461</v>
      </c>
      <c r="C5" s="55">
        <f ca="1">C6+C10+C12</f>
        <v>410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410</v>
      </c>
      <c r="D6" s="2525" t="s">
        <v>2465</v>
      </c>
      <c r="E6" s="786" t="s">
        <v>1737</v>
      </c>
      <c r="F6" s="787">
        <f ca="1">INDIRECT("'数据-取费表'!u"&amp;$G$1)</f>
        <v>800</v>
      </c>
      <c r="G6" s="1595"/>
      <c r="H6" s="2532" t="s">
        <v>2472</v>
      </c>
      <c r="I6" s="3433" t="s">
        <v>2466</v>
      </c>
      <c r="J6" s="785">
        <f ca="1">ROUND(M6*M8*M7*(1-M9)/10000,0)</f>
        <v>0</v>
      </c>
      <c r="K6" s="343" t="s">
        <v>1736</v>
      </c>
      <c r="L6" s="786" t="s">
        <v>1737</v>
      </c>
      <c r="M6" s="787">
        <f ca="1">INDIRECT("'数据-取费表'!z"&amp;$G$1)</f>
        <v>0</v>
      </c>
    </row>
    <row r="7" spans="1:33" ht="18" customHeight="1">
      <c r="A7" s="2528"/>
      <c r="B7" s="3434"/>
      <c r="C7" s="790"/>
      <c r="D7" s="791"/>
      <c r="E7" s="786" t="s">
        <v>1738</v>
      </c>
      <c r="F7" s="787">
        <f ca="1">IF(INDIRECT("'数据-取费表'!ah"&amp;$G$1)="",INDIRECT("'数据-取费表'!k"&amp;$G$1),INDIRECT("'数据-取费表'!ah"&amp;$G$1))</f>
        <v>450</v>
      </c>
      <c r="G7" s="1595"/>
      <c r="H7" s="2517"/>
      <c r="I7" s="3434"/>
      <c r="J7" s="790"/>
      <c r="K7" s="791"/>
      <c r="L7" s="786" t="s">
        <v>1738</v>
      </c>
      <c r="M7" s="787">
        <f ca="1">F7</f>
        <v>450</v>
      </c>
    </row>
    <row r="8" spans="1:33" ht="18" customHeight="1">
      <c r="A8" s="2521"/>
      <c r="B8" s="3435"/>
      <c r="C8" s="790"/>
      <c r="D8" s="791"/>
      <c r="E8" s="786" t="s">
        <v>1739</v>
      </c>
      <c r="F8" s="787">
        <f ca="1">INDIRECT("'数据-取费表'!ai"&amp;$G$1)</f>
        <v>12</v>
      </c>
      <c r="G8" s="1595"/>
      <c r="H8" s="2517"/>
      <c r="I8" s="3435"/>
      <c r="J8" s="790"/>
      <c r="K8" s="791"/>
      <c r="L8" s="786" t="s">
        <v>1739</v>
      </c>
      <c r="M8" s="787">
        <f ca="1">INDIRECT("'数据-取费表'!ai"&amp;$G$1)</f>
        <v>12</v>
      </c>
    </row>
    <row r="9" spans="1:33" ht="18" customHeight="1">
      <c r="A9" s="788"/>
      <c r="B9" s="3436"/>
      <c r="C9" s="790"/>
      <c r="D9" s="791"/>
      <c r="E9" s="786" t="s">
        <v>1740</v>
      </c>
      <c r="F9" s="796">
        <f ca="1">INDIRECT("'数据-取费表'!w"&amp;$G$1)</f>
        <v>0.05</v>
      </c>
      <c r="G9" s="1595"/>
      <c r="H9" s="2533"/>
      <c r="I9" s="3435"/>
      <c r="J9" s="790"/>
      <c r="K9" s="791"/>
      <c r="L9" s="797" t="s">
        <v>1740</v>
      </c>
      <c r="M9" s="798">
        <f ca="1">INDIRECT("'数据-取费表'!ab"&amp;$G$1)</f>
        <v>0</v>
      </c>
    </row>
    <row r="10" spans="1:33" ht="18" customHeight="1">
      <c r="A10" s="1834" t="s">
        <v>2470</v>
      </c>
      <c r="B10" s="2522" t="s">
        <v>2462</v>
      </c>
      <c r="C10" s="801">
        <f ca="1">ROUND(IF(F10="押一",F6*F8*F7/12*F11,IF(F10="押二",F6*F8*F7/12*2*F11,IF(F10="押三",F6*F8*F7/12*3*F11,C11*F11)))/10000,0)</f>
        <v>0</v>
      </c>
      <c r="D10" s="2529" t="s">
        <v>2469</v>
      </c>
      <c r="E10" s="2526" t="s">
        <v>2467</v>
      </c>
      <c r="F10" s="2649"/>
      <c r="G10" s="1595"/>
      <c r="H10" s="2589" t="s">
        <v>2473</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2468</v>
      </c>
      <c r="F11" s="798">
        <f ca="1">'数据-取费表'!B39</f>
        <v>1.4999999999999999E-2</v>
      </c>
      <c r="G11" s="1595"/>
      <c r="H11" s="2590"/>
      <c r="I11" s="2523" t="s">
        <v>2577</v>
      </c>
      <c r="J11" s="2527"/>
      <c r="K11" s="2591"/>
      <c r="L11" s="2526" t="s">
        <v>2468</v>
      </c>
      <c r="M11" s="2520">
        <f ca="1">'数据-取费表'!B39</f>
        <v>1.4999999999999999E-2</v>
      </c>
    </row>
    <row r="12" spans="1:33" ht="18" customHeight="1" thickBot="1">
      <c r="A12" s="2565" t="s">
        <v>2471</v>
      </c>
      <c r="B12" s="2566" t="s">
        <v>2463</v>
      </c>
      <c r="C12" s="2567"/>
      <c r="D12" s="2568"/>
      <c r="E12" s="2569"/>
      <c r="F12" s="2570"/>
      <c r="G12" s="1595"/>
      <c r="H12" s="2579" t="s">
        <v>2474</v>
      </c>
      <c r="I12" s="2592" t="s">
        <v>2463</v>
      </c>
      <c r="J12" s="2593"/>
      <c r="K12" s="2568"/>
      <c r="L12" s="2569"/>
      <c r="M12" s="2582"/>
    </row>
    <row r="13" spans="1:33" ht="18" customHeight="1" thickTop="1">
      <c r="A13" s="1833">
        <v>2</v>
      </c>
      <c r="B13" s="1831" t="s">
        <v>1741</v>
      </c>
      <c r="C13" s="794">
        <f ca="1">ROUND(C29*F13,0)</f>
        <v>7050</v>
      </c>
      <c r="D13" s="1838" t="s">
        <v>2298</v>
      </c>
      <c r="E13" s="1838" t="s">
        <v>1743</v>
      </c>
      <c r="F13" s="2564">
        <f ca="1">INDIRECT("'数据-取费表'!y"&amp;$G$1)</f>
        <v>1</v>
      </c>
      <c r="G13" s="1595"/>
      <c r="H13" s="1833">
        <v>2</v>
      </c>
      <c r="I13" s="1831" t="s">
        <v>1741</v>
      </c>
      <c r="J13" s="1823">
        <f ca="1">ROUND(J14*J15,0)</f>
        <v>0</v>
      </c>
      <c r="K13" s="1825" t="s">
        <v>1742</v>
      </c>
      <c r="L13" s="2580"/>
      <c r="M13" s="2581"/>
    </row>
    <row r="14" spans="1:33" ht="18" customHeight="1">
      <c r="A14" s="1651" t="s">
        <v>1883</v>
      </c>
      <c r="B14" s="786" t="s">
        <v>646</v>
      </c>
      <c r="C14" s="806">
        <f ca="1">INDIRECT("'数据-取费表'!m"&amp;$G$1)+INDIRECT("'数据-取费表'!t"&amp;$G$1)</f>
        <v>5007</v>
      </c>
      <c r="D14" s="1983" t="s">
        <v>1744</v>
      </c>
      <c r="E14" s="1984"/>
      <c r="F14" s="807"/>
      <c r="G14" s="1595"/>
      <c r="H14" s="1652" t="s">
        <v>1829</v>
      </c>
      <c r="I14" s="2235" t="s">
        <v>2832</v>
      </c>
      <c r="J14" s="53">
        <f ca="1">C29</f>
        <v>7050</v>
      </c>
      <c r="K14" s="26"/>
      <c r="L14" s="803"/>
      <c r="M14" s="804"/>
    </row>
    <row r="15" spans="1:33" s="2068" customFormat="1" ht="18" customHeight="1" thickBot="1">
      <c r="A15" s="1651" t="s">
        <v>1884</v>
      </c>
      <c r="B15" s="786" t="s">
        <v>648</v>
      </c>
      <c r="C15" s="53">
        <f ca="1">ROUND(C14*F15,0)</f>
        <v>150</v>
      </c>
      <c r="D15" s="808" t="s">
        <v>1745</v>
      </c>
      <c r="E15" s="808" t="s">
        <v>1746</v>
      </c>
      <c r="F15" s="809">
        <f>'数据-取费表'!B33</f>
        <v>0.03</v>
      </c>
      <c r="G15" s="1596"/>
      <c r="H15" s="2579" t="s">
        <v>1888</v>
      </c>
      <c r="I15" s="2574" t="s">
        <v>1743</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1885</v>
      </c>
      <c r="B16" s="786" t="s">
        <v>651</v>
      </c>
      <c r="C16" s="53">
        <f ca="1">ROUND(INDIRECT("'数据-取费表'!m"&amp;$G$1)*F16,0)</f>
        <v>0</v>
      </c>
      <c r="D16" s="786" t="s">
        <v>1745</v>
      </c>
      <c r="E16" s="786" t="s">
        <v>1746</v>
      </c>
      <c r="F16" s="811">
        <f ca="1">IF(INDIRECT("'数据-取费表'!c"&amp;$G$1)="住宅",'数据-取费表'!B34,0)</f>
        <v>0</v>
      </c>
      <c r="G16" s="1595"/>
      <c r="H16" s="1833" t="s">
        <v>1747</v>
      </c>
      <c r="I16" s="1831" t="s">
        <v>1748</v>
      </c>
      <c r="J16" s="794">
        <f ca="1">ROUND(J17+J22+J23+J24,0)</f>
        <v>165</v>
      </c>
      <c r="K16" s="1825" t="s">
        <v>1749</v>
      </c>
      <c r="L16" s="2514"/>
      <c r="M16" s="2519"/>
    </row>
    <row r="17" spans="1:33" s="2068" customFormat="1" ht="18" customHeight="1">
      <c r="A17" s="1651" t="s">
        <v>1886</v>
      </c>
      <c r="B17" s="786" t="s">
        <v>654</v>
      </c>
      <c r="C17" s="53">
        <f ca="1">ROUND(F17*(F43+INDIRECT("'数据-取费表'!S"&amp;$G$1))/10000,0)</f>
        <v>337</v>
      </c>
      <c r="D17" s="786" t="s">
        <v>1750</v>
      </c>
      <c r="E17" s="786" t="s">
        <v>1751</v>
      </c>
      <c r="F17" s="56">
        <f>'数据-取费表'!B35</f>
        <v>200</v>
      </c>
      <c r="G17" s="1596"/>
      <c r="H17" s="1652" t="s">
        <v>1829</v>
      </c>
      <c r="I17" s="786" t="s">
        <v>657</v>
      </c>
      <c r="J17" s="53">
        <f ca="1">ROUND(IF(项目基本情况!B11="自然人",J5*M17,J18+J19+J20),0)</f>
        <v>59</v>
      </c>
      <c r="K17" s="2513" t="s">
        <v>1752</v>
      </c>
      <c r="L17" s="2512"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75</v>
      </c>
      <c r="D18" s="786" t="s">
        <v>1745</v>
      </c>
      <c r="E18" s="786" t="s">
        <v>1746</v>
      </c>
      <c r="F18" s="811">
        <f>'数据-取费表'!B36</f>
        <v>1.4999999999999999E-2</v>
      </c>
      <c r="G18" s="1596"/>
      <c r="H18" s="1651" t="s">
        <v>1883</v>
      </c>
      <c r="I18" s="786" t="s">
        <v>1754</v>
      </c>
      <c r="J18" s="53">
        <f ca="1">ROUND(J5*M18/1.05,1)</f>
        <v>0</v>
      </c>
      <c r="K18" s="2512" t="s">
        <v>1755</v>
      </c>
      <c r="L18" s="786" t="s">
        <v>1746</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1829</v>
      </c>
      <c r="B19" s="786" t="s">
        <v>663</v>
      </c>
      <c r="C19" s="53">
        <f ca="1">SUM(C14:C18)</f>
        <v>5569</v>
      </c>
      <c r="D19" s="260" t="s">
        <v>1756</v>
      </c>
      <c r="E19" s="1986"/>
      <c r="F19" s="56"/>
      <c r="G19" s="1595"/>
      <c r="H19" s="1651" t="s">
        <v>1884</v>
      </c>
      <c r="I19" s="786" t="s">
        <v>1757</v>
      </c>
      <c r="J19" s="53">
        <f ca="1">IF(K19="按租金收入计税",ROUND(J5*M19,1),ROUND(C29*F33*0.7,1))</f>
        <v>59.2</v>
      </c>
      <c r="K19" s="813" t="s">
        <v>666</v>
      </c>
      <c r="L19" s="786" t="s">
        <v>1746</v>
      </c>
      <c r="M19" s="811">
        <f>IF(K19="按租金收入计税",'数据-取费表'!B51,'数据-取费表'!B50)</f>
        <v>1.2E-2</v>
      </c>
    </row>
    <row r="20" spans="1:33" s="2068" customFormat="1" ht="18" customHeight="1">
      <c r="A20" s="1652" t="s">
        <v>1888</v>
      </c>
      <c r="B20" s="786" t="s">
        <v>667</v>
      </c>
      <c r="C20" s="53">
        <f ca="1">ROUND(C19*F20,0)</f>
        <v>111</v>
      </c>
      <c r="D20" s="814" t="s">
        <v>1758</v>
      </c>
      <c r="E20" s="786" t="s">
        <v>1746</v>
      </c>
      <c r="F20" s="811">
        <f>'数据-取费表'!B37</f>
        <v>0.02</v>
      </c>
      <c r="G20" s="1596"/>
      <c r="H20" s="1654" t="s">
        <v>1879</v>
      </c>
      <c r="I20" s="343" t="s">
        <v>1759</v>
      </c>
      <c r="J20" s="54">
        <f ca="1">ROUND(M20*M21/10000,0)</f>
        <v>0</v>
      </c>
      <c r="K20" s="816" t="s">
        <v>1760</v>
      </c>
      <c r="L20" s="786" t="s">
        <v>1761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1762</v>
      </c>
      <c r="C21" s="53" t="s">
        <v>1763</v>
      </c>
      <c r="D21" s="814" t="s">
        <v>2299</v>
      </c>
      <c r="E21" s="786" t="s">
        <v>1764</v>
      </c>
      <c r="F21" s="811">
        <f>'数据-取费表'!B38</f>
        <v>0.02</v>
      </c>
      <c r="G21" s="1596"/>
      <c r="H21" s="2534"/>
      <c r="I21" s="795"/>
      <c r="J21" s="69"/>
      <c r="K21" s="818"/>
      <c r="L21" s="786" t="s">
        <v>1765</v>
      </c>
      <c r="M21" s="787">
        <f ca="1">INDIRECT("'数据-取费表'!r"&amp;$G$1)</f>
        <v>1686.8</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1766</v>
      </c>
      <c r="C22" s="53"/>
      <c r="D22" s="2600" t="str">
        <f>IF(F23&lt;=1,"单利计息。","复利计息。")&amp;"建造成本、管理费用、销售费用产生的利息。"</f>
        <v>复利计息。建造成本、管理费用、销售费用产生的利息。</v>
      </c>
      <c r="E22" s="1986"/>
      <c r="F22" s="56"/>
      <c r="G22" s="1595"/>
      <c r="H22" s="1652" t="s">
        <v>1888</v>
      </c>
      <c r="I22" s="786" t="s">
        <v>1767</v>
      </c>
      <c r="J22" s="53">
        <f ca="1">ROUND(J14*M22,0)</f>
        <v>106</v>
      </c>
      <c r="K22" s="2512" t="s">
        <v>1768</v>
      </c>
      <c r="L22" s="786" t="s">
        <v>1746</v>
      </c>
      <c r="M22" s="819">
        <f ca="1">INDIRECT("'数据-取费表'!Ak"&amp;$G$1)</f>
        <v>1.4999999999999999E-2</v>
      </c>
    </row>
    <row r="23" spans="1:33" s="2068" customFormat="1" ht="18" customHeight="1">
      <c r="A23" s="1651" t="s">
        <v>1830</v>
      </c>
      <c r="B23" s="786" t="s">
        <v>2539</v>
      </c>
      <c r="C23" s="53">
        <f ca="1">ROUND(IF('数据-取费表'!B22&lt;=1,(C19+C20)*F24*F23/2,(C19+C20)*(POWER((1+F24),F23/2)-1)),0)</f>
        <v>270</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2512" t="s">
        <v>1770</v>
      </c>
      <c r="L23" s="786" t="s">
        <v>1746</v>
      </c>
      <c r="M23" s="820">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1746</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1986"/>
      <c r="F25" s="56"/>
      <c r="G25" s="1595"/>
      <c r="H25" s="1833" t="s">
        <v>1775</v>
      </c>
      <c r="I25" s="3040" t="s">
        <v>2828</v>
      </c>
      <c r="J25" s="794">
        <f ca="1">J5-J16</f>
        <v>-165</v>
      </c>
      <c r="K25" s="2576" t="s">
        <v>1776</v>
      </c>
      <c r="L25" s="2577"/>
      <c r="M25" s="2578"/>
    </row>
    <row r="26" spans="1:33" ht="18" customHeight="1">
      <c r="A26" s="1651" t="s">
        <v>1830</v>
      </c>
      <c r="B26" s="786" t="s">
        <v>2440</v>
      </c>
      <c r="C26" s="53">
        <f ca="1">ROUND((C19+C20)*F26,0)</f>
        <v>568</v>
      </c>
      <c r="D26" s="814" t="s">
        <v>1777</v>
      </c>
      <c r="E26" s="797" t="s">
        <v>1778</v>
      </c>
      <c r="F26" s="796">
        <f ca="1">INDIRECT("'数据-取费表'!q"&amp;$G$1)</f>
        <v>0.1</v>
      </c>
      <c r="G26" s="1595"/>
      <c r="H26" s="2530" t="s">
        <v>1779</v>
      </c>
      <c r="I26" s="2236" t="s">
        <v>2833</v>
      </c>
      <c r="J26" s="785">
        <f ca="1">IF(J5&lt;&gt;0,ROUND(J25*(1-((1+M28)/(1+M26))^M27)/(M26-M28),0),0)</f>
        <v>0</v>
      </c>
      <c r="K26" s="816" t="s">
        <v>1780</v>
      </c>
      <c r="L26" s="786" t="s">
        <v>2421</v>
      </c>
      <c r="M26" s="796">
        <f ca="1">INDIRECT("'数据-取费表'!I"&amp;$G$1)</f>
        <v>0.05</v>
      </c>
    </row>
    <row r="27" spans="1:33" ht="18" customHeight="1">
      <c r="A27" s="1651" t="s">
        <v>1831</v>
      </c>
      <c r="B27" s="786" t="s">
        <v>687</v>
      </c>
      <c r="C27" s="53">
        <f ca="1">ROUND(F21*F26,4)</f>
        <v>2E-3</v>
      </c>
      <c r="D27" s="814" t="s">
        <v>1781</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1784</v>
      </c>
      <c r="F28" s="811">
        <f>'数据-取费表'!B41</f>
        <v>5.5000000000000007E-2</v>
      </c>
      <c r="G28" s="1596"/>
      <c r="H28" s="1833"/>
      <c r="I28" s="793"/>
      <c r="J28" s="794"/>
      <c r="K28" s="818"/>
      <c r="L28" s="786" t="s">
        <v>1785</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7050</v>
      </c>
      <c r="D29" s="2573"/>
      <c r="E29" s="2574"/>
      <c r="F29" s="2575"/>
      <c r="G29" s="1596"/>
      <c r="H29" s="825" t="s">
        <v>1786</v>
      </c>
      <c r="I29" s="826" t="s">
        <v>1787</v>
      </c>
      <c r="J29" s="827">
        <f ca="1">ROUND(J26/(1+F40)^F41,0)</f>
        <v>0</v>
      </c>
      <c r="K29" s="828" t="s">
        <v>1788</v>
      </c>
      <c r="L29" s="829"/>
      <c r="M29" s="830">
        <f ca="1">INDIRECT("'数据-取费表'!k"&amp;$G$1)</f>
        <v>15772.600000000002</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1892</v>
      </c>
      <c r="B30" s="1831" t="s">
        <v>1789</v>
      </c>
      <c r="C30" s="794">
        <f ca="1">ROUND(C31+C36+C37+C38,0)</f>
        <v>204</v>
      </c>
      <c r="D30" s="1825" t="s">
        <v>1790</v>
      </c>
      <c r="E30" s="2514"/>
      <c r="F30" s="2519"/>
      <c r="G30" s="2066"/>
      <c r="H30" s="2069"/>
      <c r="I30" s="2070"/>
      <c r="J30" s="2071"/>
      <c r="K30" s="2072"/>
      <c r="L30" s="2073"/>
      <c r="M30" s="2074"/>
    </row>
    <row r="31" spans="1:33" ht="18" customHeight="1">
      <c r="A31" s="1652" t="s">
        <v>1829</v>
      </c>
      <c r="B31" s="786" t="s">
        <v>657</v>
      </c>
      <c r="C31" s="53">
        <f ca="1">ROUND(IF(项目基本情况!B11="自然人",C5*F31,C32+C33+C34),1)</f>
        <v>81</v>
      </c>
      <c r="D31" s="1983" t="s">
        <v>1791</v>
      </c>
      <c r="E31" s="1981"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1793</v>
      </c>
      <c r="C32" s="53">
        <f ca="1">ROUND(C5*F32/1.05,1)</f>
        <v>21.5</v>
      </c>
      <c r="D32" s="1981" t="s">
        <v>1794</v>
      </c>
      <c r="E32" s="786" t="s">
        <v>1795</v>
      </c>
      <c r="F32" s="811">
        <f>'数据-取费表'!B41</f>
        <v>5.5000000000000007E-2</v>
      </c>
      <c r="G32" s="2066"/>
      <c r="H32" s="2075"/>
      <c r="I32" s="2076"/>
      <c r="J32" s="2077"/>
      <c r="K32" s="2078"/>
      <c r="L32" s="2079"/>
      <c r="M32" s="2080"/>
    </row>
    <row r="33" spans="1:18" ht="18" customHeight="1">
      <c r="A33" s="1651" t="s">
        <v>1831</v>
      </c>
      <c r="B33" s="786" t="s">
        <v>1796</v>
      </c>
      <c r="C33" s="53">
        <f ca="1">IF(D33="按租金收入计税",ROUND(C5*F33,1),IF(D33="按房产原值计税",ROUND(C29*F33*0.7,1),INDIRECT("'数据-取费表'!Aj"&amp;$G$1)))</f>
        <v>59.2</v>
      </c>
      <c r="D33" s="813" t="s">
        <v>1682</v>
      </c>
      <c r="E33" s="786" t="s">
        <v>1795</v>
      </c>
      <c r="F33" s="811">
        <f>IF(D33="按租金收入计税",'数据-取费表'!B51,'数据-取费表'!B50)</f>
        <v>1.2E-2</v>
      </c>
      <c r="G33" s="2066"/>
      <c r="H33" s="2081"/>
      <c r="I33" s="2081"/>
      <c r="J33" s="2081"/>
      <c r="K33" s="2082"/>
      <c r="L33" s="2081"/>
      <c r="M33" s="2081"/>
    </row>
    <row r="34" spans="1:18" ht="18" customHeight="1">
      <c r="A34" s="1654" t="s">
        <v>1832</v>
      </c>
      <c r="B34" s="343" t="s">
        <v>1797</v>
      </c>
      <c r="C34" s="54">
        <f ca="1">ROUND(F34*F35/10000,1)</f>
        <v>0.3</v>
      </c>
      <c r="D34" s="816" t="s">
        <v>1798</v>
      </c>
      <c r="E34" s="786" t="s">
        <v>1799</v>
      </c>
      <c r="F34" s="642">
        <f>'数据-取费表'!B52</f>
        <v>1.5</v>
      </c>
      <c r="G34" s="2066"/>
      <c r="H34" s="2069"/>
      <c r="I34" s="837" t="s">
        <v>1812</v>
      </c>
      <c r="J34" s="838"/>
      <c r="K34" s="2084"/>
      <c r="L34" s="2083"/>
      <c r="M34" s="2083"/>
    </row>
    <row r="35" spans="1:18" ht="18" customHeight="1">
      <c r="A35" s="817"/>
      <c r="B35" s="795"/>
      <c r="C35" s="69"/>
      <c r="D35" s="818"/>
      <c r="E35" s="786" t="s">
        <v>1800</v>
      </c>
      <c r="F35" s="787">
        <f ca="1">INDIRECT("'数据-取费表'!r"&amp;$G$1)</f>
        <v>1686.8</v>
      </c>
      <c r="G35" s="2066"/>
      <c r="H35" s="2069"/>
      <c r="I35" s="839" t="s">
        <v>1813</v>
      </c>
      <c r="J35" s="840">
        <f ca="1">ROUND(C13*J36,0)</f>
        <v>599</v>
      </c>
      <c r="K35" s="2082"/>
      <c r="L35" s="2081"/>
      <c r="M35" s="2081"/>
    </row>
    <row r="36" spans="1:18" ht="18" customHeight="1">
      <c r="A36" s="1652" t="s">
        <v>1888</v>
      </c>
      <c r="B36" s="786" t="s">
        <v>1801</v>
      </c>
      <c r="C36" s="53">
        <f ca="1">ROUND(C29*F36,1)</f>
        <v>105.8</v>
      </c>
      <c r="D36" s="1981" t="s">
        <v>1802</v>
      </c>
      <c r="E36" s="786" t="s">
        <v>1795</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10.6</v>
      </c>
      <c r="D37" s="1981" t="s">
        <v>1803</v>
      </c>
      <c r="E37" s="786" t="s">
        <v>1795</v>
      </c>
      <c r="F37" s="820">
        <f ca="1">INDIRECT("'数据-取费表'!Al"&amp;$G$1)</f>
        <v>1.5E-3</v>
      </c>
      <c r="G37" s="2066"/>
      <c r="H37" s="2081"/>
      <c r="I37" s="843" t="s">
        <v>1815</v>
      </c>
      <c r="J37" s="844"/>
      <c r="K37" s="2086"/>
      <c r="L37" s="2081"/>
      <c r="M37" s="2081"/>
    </row>
    <row r="38" spans="1:18" ht="18" customHeight="1" thickBot="1">
      <c r="A38" s="2579" t="s">
        <v>1890</v>
      </c>
      <c r="B38" s="2574" t="s">
        <v>667</v>
      </c>
      <c r="C38" s="2572">
        <f ca="1">ROUND(C5*F38,1)</f>
        <v>6.2</v>
      </c>
      <c r="D38" s="2573" t="s">
        <v>1804</v>
      </c>
      <c r="E38" s="2574" t="s">
        <v>1795</v>
      </c>
      <c r="F38" s="2570">
        <f ca="1">INDIRECT("'数据-取费表'!Am"&amp;$G$1)</f>
        <v>1.4999999999999999E-2</v>
      </c>
      <c r="G38" s="2066"/>
      <c r="H38" s="2081"/>
      <c r="I38" s="845" t="s">
        <v>1816</v>
      </c>
      <c r="J38" s="846"/>
      <c r="K38" s="2087"/>
      <c r="L38" s="2081"/>
      <c r="M38" s="2081"/>
    </row>
    <row r="39" spans="1:18" ht="24.6" customHeight="1" thickTop="1">
      <c r="A39" s="1833" t="s">
        <v>1893</v>
      </c>
      <c r="B39" s="3040" t="s">
        <v>2828</v>
      </c>
      <c r="C39" s="794">
        <f ca="1">C5-C30</f>
        <v>206</v>
      </c>
      <c r="D39" s="2576" t="s">
        <v>1805</v>
      </c>
      <c r="E39" s="2577"/>
      <c r="F39" s="2578"/>
      <c r="G39" s="2066"/>
      <c r="H39" s="2081"/>
      <c r="I39" s="839" t="s">
        <v>1817</v>
      </c>
      <c r="J39" s="847">
        <f ca="1">ROUND(J35/C39,3)</f>
        <v>2.9079999999999999</v>
      </c>
      <c r="K39" s="2087"/>
      <c r="L39" s="2081"/>
      <c r="M39" s="2081"/>
    </row>
    <row r="40" spans="1:18" ht="18" customHeight="1">
      <c r="A40" s="783" t="s">
        <v>1894</v>
      </c>
      <c r="B40" s="2236" t="s">
        <v>2302</v>
      </c>
      <c r="C40" s="785">
        <f ca="1">ROUND(C39*(1-((1+F42)/(1+F40))^F41)/(F40-F42),0)</f>
        <v>5458</v>
      </c>
      <c r="D40" s="816" t="s">
        <v>1806</v>
      </c>
      <c r="E40" s="786" t="s">
        <v>2421</v>
      </c>
      <c r="F40" s="796">
        <f ca="1">INDIRECT("'数据-取费表'!I"&amp;$G$1)</f>
        <v>0.05</v>
      </c>
      <c r="G40" s="2066"/>
      <c r="H40" s="2066"/>
      <c r="I40" s="839" t="s">
        <v>1818</v>
      </c>
      <c r="J40" s="847">
        <f ca="1">1-J39</f>
        <v>-1.9079999999999999</v>
      </c>
      <c r="K40" s="2087"/>
      <c r="L40" s="2066"/>
      <c r="M40" s="2066"/>
    </row>
    <row r="41" spans="1:18" ht="18" customHeight="1">
      <c r="A41" s="788"/>
      <c r="B41" s="789"/>
      <c r="C41" s="790"/>
      <c r="D41" s="823" t="s">
        <v>1807</v>
      </c>
      <c r="E41" s="786" t="s">
        <v>2974</v>
      </c>
      <c r="F41" s="824">
        <f ca="1">IF(INDIRECT("'数据-取费表'!af"&amp;$G$1)=0,INDIRECT("'数据-取费表'!ae"&amp;$G$1),INDIRECT("'数据-取费表'!af"&amp;$G$1))</f>
        <v>45.06</v>
      </c>
      <c r="G41" s="2066"/>
      <c r="H41" s="1992"/>
      <c r="I41" s="845" t="s">
        <v>1819</v>
      </c>
      <c r="J41" s="848"/>
      <c r="K41" s="2086"/>
      <c r="L41" s="1992"/>
      <c r="M41" s="1992"/>
    </row>
    <row r="42" spans="1:18" ht="18" customHeight="1">
      <c r="A42" s="792"/>
      <c r="B42" s="793"/>
      <c r="C42" s="794"/>
      <c r="D42" s="818"/>
      <c r="E42" s="786" t="s">
        <v>1808</v>
      </c>
      <c r="F42" s="796">
        <f ca="1">INDIRECT("'数据-取费表'!v"&amp;$G$1)</f>
        <v>2.5000000000000001E-2</v>
      </c>
      <c r="G42" s="2066"/>
      <c r="H42" s="1992"/>
      <c r="I42" s="849" t="s">
        <v>1820</v>
      </c>
      <c r="J42" s="847">
        <f ca="1">ROUND(C13/C40,3)</f>
        <v>1.292</v>
      </c>
      <c r="K42" s="2086"/>
      <c r="L42" s="1992"/>
      <c r="M42" s="1992"/>
    </row>
    <row r="43" spans="1:18" ht="18" customHeight="1" thickBot="1">
      <c r="A43" s="825" t="s">
        <v>1786</v>
      </c>
      <c r="B43" s="826" t="s">
        <v>1809</v>
      </c>
      <c r="C43" s="827">
        <f ca="1">ROUND(C40*10000/F43,0)</f>
        <v>3460</v>
      </c>
      <c r="D43" s="828" t="s">
        <v>1810</v>
      </c>
      <c r="E43" s="829" t="s">
        <v>1811</v>
      </c>
      <c r="F43" s="830">
        <f ca="1">INDIRECT("'数据-取费表'!k"&amp;$G$1)</f>
        <v>15772.600000000002</v>
      </c>
      <c r="G43" s="2066"/>
      <c r="H43" s="1992"/>
      <c r="I43" s="849" t="s">
        <v>1821</v>
      </c>
      <c r="J43" s="850">
        <f ca="1">1-J42</f>
        <v>-0.29200000000000004</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-8587</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2541</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45.06</v>
      </c>
      <c r="O48" s="2426" t="s">
        <v>2381</v>
      </c>
      <c r="P48" s="2427" t="s">
        <v>2407</v>
      </c>
      <c r="Q48" s="2428">
        <f ca="1">C40+J29</f>
        <v>5458</v>
      </c>
      <c r="R48" s="2427" t="s">
        <v>2382</v>
      </c>
    </row>
    <row r="49" spans="1:18" s="2063" customFormat="1" ht="18" customHeight="1" thickBot="1">
      <c r="A49" s="788"/>
      <c r="B49" s="789"/>
      <c r="C49" s="790"/>
      <c r="D49" s="791"/>
      <c r="E49" s="786" t="s">
        <v>1738</v>
      </c>
      <c r="F49" s="787">
        <f ca="1">F7</f>
        <v>450</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1739</v>
      </c>
      <c r="F50" s="787">
        <f ca="1">F8</f>
        <v>12</v>
      </c>
      <c r="G50" s="2099"/>
      <c r="H50" s="2097"/>
      <c r="I50" s="2387" t="s">
        <v>2348</v>
      </c>
      <c r="J50" s="2400">
        <f>SUMPRODUCT((I63:I65=J47)*(J62:L62=J48)*(J63:L65))</f>
        <v>60</v>
      </c>
      <c r="K50" s="2398" t="s">
        <v>2355</v>
      </c>
      <c r="L50" s="2399"/>
      <c r="O50" s="2429" t="s">
        <v>2385</v>
      </c>
      <c r="P50" s="2427" t="s">
        <v>2409</v>
      </c>
      <c r="Q50" s="2428">
        <f ca="1">C29</f>
        <v>7050</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-7536</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45.06</v>
      </c>
      <c r="K53" s="3449" t="s">
        <v>2976</v>
      </c>
      <c r="L53" s="3450"/>
      <c r="O53" s="2429" t="s">
        <v>2390</v>
      </c>
      <c r="P53" s="2427" t="s">
        <v>2391</v>
      </c>
      <c r="Q53" s="2428">
        <f ca="1">J53</f>
        <v>45.06</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5458</v>
      </c>
      <c r="R54" s="2431" t="s">
        <v>2394</v>
      </c>
    </row>
    <row r="55" spans="1:18" s="2063" customFormat="1" ht="18" customHeight="1" thickTop="1" thickBot="1">
      <c r="A55" s="799">
        <v>2</v>
      </c>
      <c r="B55" s="800" t="s">
        <v>645</v>
      </c>
      <c r="C55" s="801">
        <f ca="1">C13</f>
        <v>7050</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2303</v>
      </c>
      <c r="C56" s="53">
        <f ca="1">C29</f>
        <v>7050</v>
      </c>
      <c r="D56" s="26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176</v>
      </c>
      <c r="D57" s="26" t="s">
        <v>1749</v>
      </c>
      <c r="E57" s="2669"/>
      <c r="F57" s="56"/>
      <c r="I57" s="2408" t="s">
        <v>2360</v>
      </c>
      <c r="J57" s="2410" t="str">
        <f ca="1">IF(OR(M47="住宅",J51&lt;L48,J56="是"),"——",J51-L48)</f>
        <v>——</v>
      </c>
      <c r="K57" s="2387" t="s">
        <v>2365</v>
      </c>
      <c r="L57" s="2396" t="str">
        <f ca="1">IF(L48&lt;J51,"——",IF(L55="比较法",L49,IF(L55="基准地价",L50,L51)))</f>
        <v>——</v>
      </c>
      <c r="O57" s="2426" t="s">
        <v>2381</v>
      </c>
      <c r="P57" s="2427" t="s">
        <v>2411</v>
      </c>
      <c r="Q57" s="2428">
        <f ca="1">C40+J29</f>
        <v>5458</v>
      </c>
      <c r="R57" s="2427" t="s">
        <v>2382</v>
      </c>
    </row>
    <row r="58" spans="1:18" s="2063" customFormat="1" ht="28.5" customHeight="1" thickBot="1">
      <c r="A58" s="1652" t="s">
        <v>1823</v>
      </c>
      <c r="B58" s="786" t="s">
        <v>657</v>
      </c>
      <c r="C58" s="53">
        <f ca="1">ROUND(IF(项目基本情况!B11="自然人",C47*F58,C59+C60+C61),1)</f>
        <v>59.5</v>
      </c>
      <c r="D58" s="2667" t="s">
        <v>658</v>
      </c>
      <c r="E58" s="26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2668" t="s">
        <v>1755</v>
      </c>
      <c r="E59" s="786" t="s">
        <v>1746</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1757</v>
      </c>
      <c r="C60" s="53">
        <f ca="1">IF(D60="按租金收入计税",ROUND(C47*F60,1),IF(D60="按房产原值计税",ROUND(C56*F60*0.7,1),INDIRECT("'数据-取费表'!Aj"&amp;$G$1)))</f>
        <v>59.2</v>
      </c>
      <c r="D60" s="2668" t="str">
        <f>D33</f>
        <v>按房产原值计税</v>
      </c>
      <c r="E60" s="786" t="s">
        <v>1746</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0.3</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1686.8</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105.8</v>
      </c>
      <c r="D63" s="2668" t="s">
        <v>1802</v>
      </c>
      <c r="E63" s="786" t="s">
        <v>1746</v>
      </c>
      <c r="F63" s="819">
        <f t="shared" ca="1" si="0"/>
        <v>1.4999999999999999E-2</v>
      </c>
      <c r="I63" s="2413" t="s">
        <v>2372</v>
      </c>
      <c r="J63" s="2414">
        <v>70</v>
      </c>
      <c r="K63" s="2414">
        <v>50</v>
      </c>
      <c r="L63" s="2414">
        <v>80</v>
      </c>
      <c r="M63" s="3135">
        <v>0.02</v>
      </c>
      <c r="O63" s="2426" t="s">
        <v>2393</v>
      </c>
      <c r="P63" s="2427" t="s">
        <v>2410</v>
      </c>
      <c r="Q63" s="2428">
        <f ca="1">Q57+Q58</f>
        <v>5458</v>
      </c>
      <c r="R63" s="2431" t="s">
        <v>2394</v>
      </c>
    </row>
    <row r="64" spans="1:18" s="2063" customFormat="1" ht="16.5" thickBot="1">
      <c r="A64" s="1652" t="s">
        <v>1889</v>
      </c>
      <c r="B64" s="786" t="s">
        <v>680</v>
      </c>
      <c r="C64" s="53">
        <f ca="1">ROUND(C55*F64,1)</f>
        <v>10.6</v>
      </c>
      <c r="D64" s="2668" t="s">
        <v>681</v>
      </c>
      <c r="E64" s="786" t="s">
        <v>1746</v>
      </c>
      <c r="F64" s="820">
        <f t="shared" ca="1" si="0"/>
        <v>1.5E-3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2668" t="s">
        <v>684</v>
      </c>
      <c r="E65" s="786" t="s">
        <v>1746</v>
      </c>
      <c r="F65" s="796">
        <f t="shared" ca="1" si="0"/>
        <v>1.4999999999999999E-2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-176</v>
      </c>
      <c r="D66" s="2667" t="s">
        <v>701</v>
      </c>
      <c r="E66" s="2666"/>
      <c r="F66" s="822"/>
      <c r="K66" s="2090"/>
      <c r="O66" s="2426" t="s">
        <v>2381</v>
      </c>
      <c r="P66" s="2427" t="s">
        <v>2411</v>
      </c>
      <c r="Q66" s="2428">
        <f ca="1">C40+J29</f>
        <v>5458</v>
      </c>
      <c r="R66" s="2427" t="s">
        <v>2382</v>
      </c>
    </row>
    <row r="67" spans="1:18" s="2063" customFormat="1" ht="20.25" thickBot="1">
      <c r="A67" s="783" t="s">
        <v>1779</v>
      </c>
      <c r="B67" s="2236" t="s">
        <v>2302</v>
      </c>
      <c r="C67" s="785">
        <f ca="1">ROUND(C66*(1-((1+F69)/(1+F67))^F68)/(F67-F69),0)</f>
        <v>-3129</v>
      </c>
      <c r="D67" s="816" t="s">
        <v>705</v>
      </c>
      <c r="E67" s="786" t="s">
        <v>706</v>
      </c>
      <c r="F67" s="796">
        <f ca="1">F40</f>
        <v>0.05</v>
      </c>
      <c r="K67" s="2090"/>
      <c r="O67" s="2426" t="s">
        <v>2383</v>
      </c>
      <c r="P67" s="2427" t="s">
        <v>2414</v>
      </c>
      <c r="Q67" s="2428">
        <f ca="1">L60</f>
        <v>0</v>
      </c>
      <c r="R67" s="2431" t="s">
        <v>2416</v>
      </c>
    </row>
    <row r="68" spans="1:18" ht="21.75" thickBot="1">
      <c r="A68" s="788"/>
      <c r="B68" s="789"/>
      <c r="C68" s="790"/>
      <c r="D68" s="823" t="s">
        <v>1807</v>
      </c>
      <c r="E68" s="786" t="s">
        <v>1783</v>
      </c>
      <c r="F68" s="824">
        <f ca="1">F41</f>
        <v>45.06</v>
      </c>
      <c r="O68" s="2429" t="s">
        <v>2385</v>
      </c>
      <c r="P68" s="2427" t="s">
        <v>2415</v>
      </c>
      <c r="Q68" s="2433">
        <f ca="1">L51</f>
        <v>-7536</v>
      </c>
      <c r="R68" s="2434" t="s">
        <v>2418</v>
      </c>
    </row>
    <row r="69" spans="1:18" ht="20.25" thickBot="1">
      <c r="A69" s="792"/>
      <c r="B69" s="793"/>
      <c r="C69" s="794"/>
      <c r="D69" s="818"/>
      <c r="E69" s="786" t="s">
        <v>711</v>
      </c>
      <c r="F69" s="2375"/>
      <c r="O69" s="2429" t="s">
        <v>2386</v>
      </c>
      <c r="P69" s="2435" t="s">
        <v>2400</v>
      </c>
      <c r="Q69" s="2428">
        <f ca="1">ROUND(Q70-Q71*Q72,0)</f>
        <v>-393</v>
      </c>
      <c r="R69" s="2431"/>
    </row>
    <row r="70" spans="1:18" ht="15.75" thickBot="1">
      <c r="A70" s="825" t="s">
        <v>1786</v>
      </c>
      <c r="B70" s="826" t="s">
        <v>1809</v>
      </c>
      <c r="C70" s="827">
        <f ca="1">ROUND(C67*10000/F70,0)</f>
        <v>-1984</v>
      </c>
      <c r="D70" s="828" t="s">
        <v>1810</v>
      </c>
      <c r="E70" s="829" t="s">
        <v>1811</v>
      </c>
      <c r="F70" s="830">
        <f ca="1">F43</f>
        <v>15772.600000000002</v>
      </c>
      <c r="O70" s="2429" t="s">
        <v>2401</v>
      </c>
      <c r="P70" s="2435" t="s">
        <v>2402</v>
      </c>
      <c r="Q70" s="2428">
        <f ca="1">C39</f>
        <v>206</v>
      </c>
      <c r="R70" s="2427" t="s">
        <v>2382</v>
      </c>
    </row>
    <row r="71" spans="1:18" ht="15.75" thickBot="1">
      <c r="O71" s="2429" t="s">
        <v>2403</v>
      </c>
      <c r="P71" s="2435" t="s">
        <v>2404</v>
      </c>
      <c r="Q71" s="2428">
        <f ca="1">C13</f>
        <v>7050</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5458</v>
      </c>
      <c r="R76" s="243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1" t="s">
        <v>2475</v>
      </c>
      <c r="B1" s="3452"/>
      <c r="C1" s="3453"/>
      <c r="D1" s="3454">
        <f>SUM(I10,I15,I20,I21,I23)</f>
        <v>0</v>
      </c>
      <c r="E1" s="3454"/>
      <c r="F1" s="3454"/>
      <c r="G1" s="3454"/>
      <c r="H1" s="3454"/>
      <c r="I1" s="3455"/>
    </row>
    <row r="2" spans="1:9">
      <c r="A2" s="3456" t="s">
        <v>2476</v>
      </c>
      <c r="B2" s="3457" t="s">
        <v>2477</v>
      </c>
      <c r="C2" s="3457"/>
      <c r="D2" s="2535" t="s">
        <v>2478</v>
      </c>
      <c r="E2" s="2535" t="s">
        <v>2479</v>
      </c>
      <c r="F2" s="2535" t="s">
        <v>2480</v>
      </c>
      <c r="G2" s="2535" t="s">
        <v>2481</v>
      </c>
      <c r="H2" s="2535" t="s">
        <v>2482</v>
      </c>
      <c r="I2" s="2536" t="s">
        <v>2483</v>
      </c>
    </row>
    <row r="3" spans="1:9">
      <c r="A3" s="3456"/>
      <c r="B3" s="3457" t="s">
        <v>2484</v>
      </c>
      <c r="C3" s="3457"/>
      <c r="D3" s="2537"/>
      <c r="E3" s="2535"/>
      <c r="F3" s="2538"/>
      <c r="G3" s="2538"/>
      <c r="H3" s="2539"/>
      <c r="I3" s="2540">
        <f>ROUND(D3*E3*F3*G3*H3/10000,0)</f>
        <v>0</v>
      </c>
    </row>
    <row r="4" spans="1:9">
      <c r="A4" s="3456"/>
      <c r="B4" s="3457" t="s">
        <v>2485</v>
      </c>
      <c r="C4" s="3457"/>
      <c r="D4" s="2537"/>
      <c r="E4" s="2535"/>
      <c r="F4" s="2538"/>
      <c r="G4" s="2538"/>
      <c r="H4" s="2539"/>
      <c r="I4" s="2540">
        <f t="shared" ref="I4:I9" si="0">ROUND(D4*E4*F4*G4*H4/10000,0)</f>
        <v>0</v>
      </c>
    </row>
    <row r="5" spans="1:9">
      <c r="A5" s="3456"/>
      <c r="B5" s="3457" t="s">
        <v>2486</v>
      </c>
      <c r="C5" s="3457"/>
      <c r="D5" s="2537"/>
      <c r="E5" s="2535"/>
      <c r="F5" s="2538"/>
      <c r="G5" s="2538"/>
      <c r="H5" s="2539"/>
      <c r="I5" s="2540">
        <f t="shared" si="0"/>
        <v>0</v>
      </c>
    </row>
    <row r="6" spans="1:9">
      <c r="A6" s="3456"/>
      <c r="B6" s="3457" t="s">
        <v>2487</v>
      </c>
      <c r="C6" s="3457"/>
      <c r="D6" s="2537"/>
      <c r="E6" s="2535"/>
      <c r="F6" s="2538"/>
      <c r="G6" s="2538"/>
      <c r="H6" s="2539"/>
      <c r="I6" s="2540">
        <f t="shared" si="0"/>
        <v>0</v>
      </c>
    </row>
    <row r="7" spans="1:9">
      <c r="A7" s="3456"/>
      <c r="B7" s="3457" t="s">
        <v>2488</v>
      </c>
      <c r="C7" s="3457"/>
      <c r="D7" s="2537"/>
      <c r="E7" s="2535"/>
      <c r="F7" s="2538"/>
      <c r="G7" s="2538"/>
      <c r="H7" s="2539"/>
      <c r="I7" s="2540">
        <f t="shared" si="0"/>
        <v>0</v>
      </c>
    </row>
    <row r="8" spans="1:9">
      <c r="A8" s="3456"/>
      <c r="B8" s="3457" t="s">
        <v>2489</v>
      </c>
      <c r="C8" s="3457"/>
      <c r="D8" s="2537"/>
      <c r="E8" s="2535"/>
      <c r="F8" s="2538"/>
      <c r="G8" s="2538"/>
      <c r="H8" s="2539"/>
      <c r="I8" s="2540">
        <f t="shared" si="0"/>
        <v>0</v>
      </c>
    </row>
    <row r="9" spans="1:9">
      <c r="A9" s="3456"/>
      <c r="B9" s="3457" t="s">
        <v>2490</v>
      </c>
      <c r="C9" s="3457"/>
      <c r="D9" s="2537"/>
      <c r="E9" s="2535"/>
      <c r="F9" s="2538"/>
      <c r="G9" s="2538"/>
      <c r="H9" s="2539"/>
      <c r="I9" s="2540">
        <f t="shared" si="0"/>
        <v>0</v>
      </c>
    </row>
    <row r="10" spans="1:9">
      <c r="A10" s="3456"/>
      <c r="B10" s="3458" t="s">
        <v>2491</v>
      </c>
      <c r="C10" s="3458"/>
      <c r="D10" s="2541">
        <v>527</v>
      </c>
      <c r="E10" s="2541" t="e">
        <f>ROUND(D1*10000/D10/H9,0)</f>
        <v>#DIV/0!</v>
      </c>
      <c r="F10" s="2542"/>
      <c r="G10" s="2542"/>
      <c r="H10" s="2543"/>
      <c r="I10" s="2544">
        <f>SUM(I3:I9)</f>
        <v>0</v>
      </c>
    </row>
    <row r="11" spans="1:9" ht="14.25">
      <c r="A11" s="3456" t="s">
        <v>2492</v>
      </c>
      <c r="B11" s="3457" t="s">
        <v>2493</v>
      </c>
      <c r="C11" s="3457"/>
      <c r="D11" s="2537" t="s">
        <v>2494</v>
      </c>
      <c r="E11" s="2537" t="s">
        <v>2495</v>
      </c>
      <c r="F11" s="2538" t="s">
        <v>2496</v>
      </c>
      <c r="G11" s="2538" t="s">
        <v>2497</v>
      </c>
      <c r="H11" s="2545" t="s">
        <v>2498</v>
      </c>
      <c r="I11" s="2536" t="s">
        <v>2499</v>
      </c>
    </row>
    <row r="12" spans="1:9">
      <c r="A12" s="3456"/>
      <c r="B12" s="3457" t="s">
        <v>2500</v>
      </c>
      <c r="C12" s="3457"/>
      <c r="D12" s="2537"/>
      <c r="E12" s="2537"/>
      <c r="F12" s="2538"/>
      <c r="G12" s="2539"/>
      <c r="H12" s="2546"/>
      <c r="I12" s="2536">
        <f>ROUND(D12*E12*F12*G12/10000,0)</f>
        <v>0</v>
      </c>
    </row>
    <row r="13" spans="1:9">
      <c r="A13" s="3456"/>
      <c r="B13" s="3457" t="s">
        <v>2501</v>
      </c>
      <c r="C13" s="3457"/>
      <c r="D13" s="2537"/>
      <c r="E13" s="2537"/>
      <c r="F13" s="2538"/>
      <c r="G13" s="2539"/>
      <c r="H13" s="2546"/>
      <c r="I13" s="2536">
        <f>ROUND(D13*E13*F13*G13/10000,0)</f>
        <v>0</v>
      </c>
    </row>
    <row r="14" spans="1:9">
      <c r="A14" s="3456"/>
      <c r="B14" s="3457" t="s">
        <v>2502</v>
      </c>
      <c r="C14" s="3457"/>
      <c r="D14" s="2537"/>
      <c r="E14" s="2537"/>
      <c r="F14" s="2538"/>
      <c r="G14" s="2539"/>
      <c r="H14" s="2546"/>
      <c r="I14" s="2536">
        <f>ROUND(D14*E14*F14*G14/10000,0)</f>
        <v>0</v>
      </c>
    </row>
    <row r="15" spans="1:9">
      <c r="A15" s="3456"/>
      <c r="B15" s="3458" t="s">
        <v>2491</v>
      </c>
      <c r="C15" s="3458"/>
      <c r="D15" s="2541"/>
      <c r="E15" s="2541">
        <f>SUM(E12:E14)</f>
        <v>0</v>
      </c>
      <c r="F15" s="2542"/>
      <c r="G15" s="2539"/>
      <c r="H15" s="2546"/>
      <c r="I15" s="2547">
        <f>SUM(I12:I14)</f>
        <v>0</v>
      </c>
    </row>
    <row r="16" spans="1:9" ht="24">
      <c r="A16" s="3456" t="s">
        <v>2503</v>
      </c>
      <c r="B16" s="3457" t="s">
        <v>2504</v>
      </c>
      <c r="C16" s="3457"/>
      <c r="D16" s="2537" t="s">
        <v>2505</v>
      </c>
      <c r="E16" s="2548" t="s">
        <v>2506</v>
      </c>
      <c r="F16" s="2538" t="s">
        <v>2507</v>
      </c>
      <c r="G16" s="2539" t="s">
        <v>2497</v>
      </c>
      <c r="H16" s="2545" t="s">
        <v>2498</v>
      </c>
      <c r="I16" s="2536" t="s">
        <v>2499</v>
      </c>
    </row>
    <row r="17" spans="1:9" ht="14.25">
      <c r="A17" s="3456"/>
      <c r="B17" s="3457" t="s">
        <v>2508</v>
      </c>
      <c r="C17" s="3457"/>
      <c r="D17" s="2537"/>
      <c r="E17" s="2537"/>
      <c r="F17" s="2538"/>
      <c r="G17" s="2539"/>
      <c r="H17" s="2549"/>
      <c r="I17" s="2550">
        <f>ROUND(D17*E17*F17*G17/10000,0)</f>
        <v>0</v>
      </c>
    </row>
    <row r="18" spans="1:9" ht="14.25">
      <c r="A18" s="3456"/>
      <c r="B18" s="3457" t="s">
        <v>2509</v>
      </c>
      <c r="C18" s="3457"/>
      <c r="D18" s="2537"/>
      <c r="E18" s="2537"/>
      <c r="F18" s="2538"/>
      <c r="G18" s="2539"/>
      <c r="H18" s="2549"/>
      <c r="I18" s="2550">
        <f>ROUND(D18*E18*F18*G18/10000,0)</f>
        <v>0</v>
      </c>
    </row>
    <row r="19" spans="1:9" ht="14.25">
      <c r="A19" s="3456"/>
      <c r="B19" s="3457" t="s">
        <v>2510</v>
      </c>
      <c r="C19" s="3457"/>
      <c r="D19" s="2537"/>
      <c r="E19" s="2537"/>
      <c r="F19" s="2538"/>
      <c r="G19" s="2539"/>
      <c r="H19" s="2549"/>
      <c r="I19" s="2550">
        <f>ROUND(D19*E19*F19*G19/10000,0)</f>
        <v>0</v>
      </c>
    </row>
    <row r="20" spans="1:9">
      <c r="A20" s="3456"/>
      <c r="B20" s="3458" t="s">
        <v>2491</v>
      </c>
      <c r="C20" s="3458"/>
      <c r="D20" s="2541">
        <f>SUM(D17:D19)</f>
        <v>0</v>
      </c>
      <c r="E20" s="2541"/>
      <c r="F20" s="2542"/>
      <c r="G20" s="2539"/>
      <c r="H20" s="2546"/>
      <c r="I20" s="2547">
        <f>SUM(I17:I19)</f>
        <v>0</v>
      </c>
    </row>
    <row r="21" spans="1:9">
      <c r="A21" s="3456" t="s">
        <v>2511</v>
      </c>
      <c r="B21" s="3460"/>
      <c r="C21" s="3460"/>
      <c r="D21" s="3460"/>
      <c r="E21" s="3460"/>
      <c r="F21" s="3460"/>
      <c r="G21" s="3460"/>
      <c r="H21" s="2551">
        <v>0.1</v>
      </c>
      <c r="I21" s="2544">
        <f>ROUND(I10*H21,0)</f>
        <v>0</v>
      </c>
    </row>
    <row r="22" spans="1:9" ht="14.25">
      <c r="A22" s="3461" t="s">
        <v>2512</v>
      </c>
      <c r="B22" s="3462"/>
      <c r="C22" s="3463"/>
      <c r="D22" s="2552" t="s">
        <v>2513</v>
      </c>
      <c r="E22" s="2552" t="s">
        <v>2514</v>
      </c>
      <c r="F22" s="2553" t="s">
        <v>2515</v>
      </c>
      <c r="G22" s="2553" t="s">
        <v>2516</v>
      </c>
      <c r="H22" s="2545" t="s">
        <v>2517</v>
      </c>
      <c r="I22" s="2536" t="s">
        <v>2518</v>
      </c>
    </row>
    <row r="23" spans="1:9" ht="14.25" thickBot="1">
      <c r="A23" s="3464"/>
      <c r="B23" s="3465"/>
      <c r="C23" s="3466"/>
      <c r="D23" s="2554"/>
      <c r="E23" s="2554"/>
      <c r="F23" s="2554"/>
      <c r="G23" s="2555"/>
      <c r="H23" s="2556"/>
      <c r="I23" s="2557">
        <f>ROUND(E23*D23*F23*(1-G23)/10000,0)</f>
        <v>0</v>
      </c>
    </row>
    <row r="26" spans="1:9">
      <c r="A26" s="2558" t="s">
        <v>2519</v>
      </c>
      <c r="B26" s="2558"/>
      <c r="C26" s="2558"/>
      <c r="D26" s="2558"/>
      <c r="E26" s="3467">
        <f>C27-C30-C31-C32</f>
        <v>0</v>
      </c>
      <c r="F26" s="3467"/>
      <c r="G26" s="3467"/>
      <c r="H26" s="3073" t="s">
        <v>2849</v>
      </c>
    </row>
    <row r="27" spans="1:9">
      <c r="A27" s="2559">
        <v>1</v>
      </c>
      <c r="B27" s="2560" t="s">
        <v>2520</v>
      </c>
      <c r="C27" s="2560"/>
      <c r="D27" s="2560"/>
      <c r="E27" s="3468"/>
      <c r="F27" s="3468"/>
      <c r="G27" s="3468"/>
    </row>
    <row r="28" spans="1:9">
      <c r="A28" s="2561" t="s">
        <v>2521</v>
      </c>
      <c r="B28" s="2560" t="s">
        <v>2522</v>
      </c>
      <c r="C28" s="2560"/>
      <c r="D28" s="2560"/>
      <c r="E28" s="3468"/>
      <c r="F28" s="3468"/>
      <c r="G28" s="3468"/>
    </row>
    <row r="29" spans="1:9">
      <c r="A29" s="2561" t="s">
        <v>2523</v>
      </c>
      <c r="B29" s="2560" t="s">
        <v>2463</v>
      </c>
      <c r="C29" s="2560"/>
      <c r="D29" s="2560"/>
      <c r="E29" s="2560" t="s">
        <v>2524</v>
      </c>
      <c r="F29" s="2560"/>
      <c r="G29" s="2560"/>
    </row>
    <row r="30" spans="1:9">
      <c r="A30" s="2559">
        <v>2</v>
      </c>
      <c r="B30" s="2560" t="s">
        <v>2525</v>
      </c>
      <c r="C30" s="2560">
        <f>C27*D30</f>
        <v>0</v>
      </c>
      <c r="D30" s="2562">
        <v>0.2</v>
      </c>
      <c r="E30" s="2560" t="s">
        <v>2526</v>
      </c>
      <c r="F30" s="2560"/>
      <c r="G30" s="2560"/>
    </row>
    <row r="31" spans="1:9">
      <c r="A31" s="2559">
        <v>3</v>
      </c>
      <c r="B31" s="2560" t="s">
        <v>2527</v>
      </c>
      <c r="C31" s="2560">
        <f>C25*D31</f>
        <v>0</v>
      </c>
      <c r="D31" s="2562">
        <v>0.15</v>
      </c>
      <c r="E31" s="2560" t="s">
        <v>2528</v>
      </c>
      <c r="F31" s="2560"/>
      <c r="G31" s="2560"/>
    </row>
    <row r="32" spans="1:9">
      <c r="A32" s="2559">
        <v>4</v>
      </c>
      <c r="B32" s="2560" t="s">
        <v>2529</v>
      </c>
      <c r="C32" s="2560">
        <f>C27*D32</f>
        <v>0</v>
      </c>
      <c r="D32" s="2562">
        <v>0.05</v>
      </c>
      <c r="E32" s="3459"/>
      <c r="F32" s="3459"/>
      <c r="G32" s="3459"/>
    </row>
    <row r="33" spans="1:7" hidden="1">
      <c r="A33" s="3469" t="s">
        <v>2530</v>
      </c>
      <c r="B33" s="3470"/>
      <c r="C33" s="3470"/>
      <c r="D33" s="3471"/>
      <c r="E33" s="3467"/>
      <c r="F33" s="3467"/>
      <c r="G33" s="3467"/>
    </row>
    <row r="34" spans="1:7" hidden="1">
      <c r="A34" s="2563">
        <v>1</v>
      </c>
      <c r="B34" s="2560" t="s">
        <v>2531</v>
      </c>
      <c r="C34" s="2560"/>
      <c r="D34" s="2560"/>
      <c r="E34" s="3468"/>
      <c r="F34" s="3468"/>
      <c r="G34" s="3468"/>
    </row>
    <row r="35" spans="1:7" hidden="1">
      <c r="A35" s="2563">
        <v>2</v>
      </c>
      <c r="B35" s="2560" t="s">
        <v>2532</v>
      </c>
      <c r="C35" s="2560"/>
      <c r="D35" s="2560"/>
      <c r="E35" s="3468"/>
      <c r="F35" s="3468"/>
      <c r="G35" s="3468"/>
    </row>
    <row r="36" spans="1:7" hidden="1">
      <c r="A36" s="2563">
        <v>3</v>
      </c>
      <c r="B36" s="2560" t="s">
        <v>2533</v>
      </c>
      <c r="C36" s="2560"/>
      <c r="D36" s="2560"/>
      <c r="E36" s="3468"/>
      <c r="F36" s="3468"/>
      <c r="G36" s="3468"/>
    </row>
    <row r="37" spans="1:7" hidden="1">
      <c r="A37" s="2563">
        <v>4</v>
      </c>
      <c r="B37" s="2560" t="s">
        <v>2534</v>
      </c>
      <c r="C37" s="2560"/>
      <c r="D37" s="2560"/>
      <c r="E37" s="3468"/>
      <c r="F37" s="3468"/>
      <c r="G37" s="3468"/>
    </row>
    <row r="38" spans="1:7" hidden="1">
      <c r="A38" s="3469" t="s">
        <v>2535</v>
      </c>
      <c r="B38" s="3470"/>
      <c r="C38" s="3470"/>
      <c r="D38" s="3471"/>
      <c r="E38" s="3467"/>
      <c r="F38" s="3467"/>
      <c r="G38" s="34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3" t="s">
        <v>604</v>
      </c>
      <c r="B1" s="744"/>
      <c r="C1" s="2186"/>
      <c r="D1" s="2186"/>
      <c r="E1" s="2186"/>
      <c r="F1" s="2186"/>
      <c r="G1" s="2112"/>
    </row>
    <row r="2" spans="1:25" s="2063" customFormat="1" ht="18" customHeight="1">
      <c r="A2" s="425" t="s">
        <v>467</v>
      </c>
      <c r="B2" s="427">
        <f ca="1">C23</f>
        <v>0</v>
      </c>
      <c r="C2" s="2112"/>
      <c r="D2" s="2112"/>
      <c r="E2" s="2112"/>
      <c r="F2" s="2112"/>
      <c r="G2" s="2112"/>
    </row>
    <row r="3" spans="1:25" s="2063" customFormat="1" ht="18" customHeight="1">
      <c r="A3" s="1382" t="s">
        <v>1684</v>
      </c>
      <c r="B3" s="427">
        <f ca="1">ROUND(B2*10000/'数据-汇总表'!E3,0)</f>
        <v>0</v>
      </c>
      <c r="C3" s="2112"/>
      <c r="D3" s="2112"/>
      <c r="E3" s="2112"/>
      <c r="F3" s="2112"/>
      <c r="G3" s="2112"/>
    </row>
    <row r="4" spans="1:25" s="2063" customFormat="1" ht="18" customHeight="1">
      <c r="A4" s="428" t="s">
        <v>468</v>
      </c>
      <c r="B4" s="429">
        <f ca="1">ROUND(B2*10000/'数据-汇总表'!D3,0)</f>
        <v>0</v>
      </c>
      <c r="C4" s="2065"/>
      <c r="D4" s="2112"/>
      <c r="E4" s="2112"/>
      <c r="F4" s="2112"/>
      <c r="G4" s="2112"/>
    </row>
    <row r="5" spans="1:25" s="2063" customFormat="1" ht="18" customHeight="1" thickBot="1">
      <c r="A5" s="431"/>
      <c r="B5" s="432">
        <f ca="1">ROUND(B2/('数据-汇总表'!D3/666.67),0)</f>
        <v>0</v>
      </c>
      <c r="C5" s="433" t="s">
        <v>469</v>
      </c>
      <c r="D5" s="2112"/>
      <c r="E5" s="2112"/>
      <c r="F5" s="2112"/>
      <c r="G5" s="2112"/>
    </row>
    <row r="6" spans="1:25" s="2187" customFormat="1" ht="13.5" customHeight="1">
      <c r="A6" s="745"/>
      <c r="B6" s="746" t="s">
        <v>605</v>
      </c>
      <c r="C6" s="747" t="s">
        <v>606</v>
      </c>
      <c r="D6" s="747" t="s">
        <v>607</v>
      </c>
      <c r="E6" s="748" t="s">
        <v>608</v>
      </c>
      <c r="F6" s="748" t="s">
        <v>609</v>
      </c>
      <c r="G6" s="749"/>
    </row>
    <row r="7" spans="1:25" s="2187" customFormat="1" ht="13.5" customHeight="1">
      <c r="A7" s="2497">
        <v>1</v>
      </c>
      <c r="B7" s="750" t="s">
        <v>610</v>
      </c>
      <c r="C7" s="751">
        <f>C8+C9</f>
        <v>0</v>
      </c>
      <c r="D7" s="751"/>
      <c r="E7" s="752"/>
      <c r="F7" s="752"/>
      <c r="G7" s="2507"/>
    </row>
    <row r="8" spans="1:25" s="2187" customFormat="1" ht="13.5" customHeight="1">
      <c r="A8" s="2497" t="s">
        <v>2442</v>
      </c>
      <c r="B8" s="2500" t="s">
        <v>2444</v>
      </c>
      <c r="C8" s="2501"/>
      <c r="D8" s="751"/>
      <c r="E8" s="752"/>
      <c r="F8" s="752"/>
      <c r="G8" s="753"/>
    </row>
    <row r="9" spans="1:25" s="2187" customFormat="1" ht="13.5" customHeight="1">
      <c r="A9" s="2497" t="s">
        <v>2443</v>
      </c>
      <c r="B9" s="2500" t="s">
        <v>2445</v>
      </c>
      <c r="C9" s="2501"/>
      <c r="D9" s="751"/>
      <c r="E9" s="752"/>
      <c r="F9" s="752"/>
      <c r="G9" s="753"/>
    </row>
    <row r="10" spans="1:25" s="2187" customFormat="1" ht="36">
      <c r="A10" s="2497">
        <v>2</v>
      </c>
      <c r="B10" s="750" t="s">
        <v>614</v>
      </c>
      <c r="C10" s="751">
        <f>C11+C14+C15</f>
        <v>0</v>
      </c>
      <c r="D10" s="762">
        <f>'数据-汇总表'!E3</f>
        <v>95241.88</v>
      </c>
      <c r="E10" s="751">
        <f>'数据-取费表'!B31</f>
        <v>200</v>
      </c>
      <c r="F10" s="763"/>
      <c r="G10" s="761" t="s">
        <v>615</v>
      </c>
    </row>
    <row r="11" spans="1:25" s="2187" customFormat="1" ht="13.5" customHeight="1">
      <c r="A11" s="2497" t="s">
        <v>2442</v>
      </c>
      <c r="B11" s="754" t="s">
        <v>611</v>
      </c>
      <c r="C11" s="755">
        <f>'数据-取费表'!B29</f>
        <v>0</v>
      </c>
      <c r="D11" s="756"/>
      <c r="E11" s="755"/>
      <c r="F11" s="757"/>
      <c r="G11" s="2506" t="s">
        <v>2453</v>
      </c>
    </row>
    <row r="12" spans="1:25" s="2187" customFormat="1" ht="13.5" customHeight="1">
      <c r="A12" s="2504" t="s">
        <v>2450</v>
      </c>
      <c r="B12" s="758" t="s">
        <v>612</v>
      </c>
      <c r="C12" s="759">
        <f>ROUND(D12*E12/10000,0)</f>
        <v>0</v>
      </c>
      <c r="D12" s="760">
        <f>'数据-汇总表'!E5</f>
        <v>0</v>
      </c>
      <c r="E12" s="759">
        <f>'数据-取费表'!B27</f>
        <v>0</v>
      </c>
      <c r="F12" s="757"/>
      <c r="G12" s="761"/>
    </row>
    <row r="13" spans="1:25" s="2187" customFormat="1" ht="13.5" customHeight="1">
      <c r="A13" s="2504" t="s">
        <v>2449</v>
      </c>
      <c r="B13" s="758" t="s">
        <v>613</v>
      </c>
      <c r="C13" s="759">
        <f>ROUND(D13*E13/10000,0)</f>
        <v>1905</v>
      </c>
      <c r="D13" s="760">
        <f>'数据-汇总表'!E6</f>
        <v>95241.88</v>
      </c>
      <c r="E13" s="759">
        <f>'数据-取费表'!B28</f>
        <v>200</v>
      </c>
      <c r="F13" s="757"/>
      <c r="G13" s="761"/>
    </row>
    <row r="14" spans="1:25" s="2187" customFormat="1" ht="13.5" customHeight="1">
      <c r="A14" s="2497" t="s">
        <v>2443</v>
      </c>
      <c r="B14" s="2503" t="s">
        <v>2446</v>
      </c>
      <c r="C14" s="2501"/>
      <c r="D14" s="760"/>
      <c r="E14" s="759"/>
      <c r="F14" s="2502"/>
      <c r="G14" s="2505" t="s">
        <v>2451</v>
      </c>
    </row>
    <row r="15" spans="1:25" s="2187" customFormat="1" ht="13.5" customHeight="1">
      <c r="A15" s="2497" t="s">
        <v>2448</v>
      </c>
      <c r="B15" s="2503" t="s">
        <v>2447</v>
      </c>
      <c r="C15" s="2501"/>
      <c r="D15" s="760"/>
      <c r="E15" s="759"/>
      <c r="F15" s="2502"/>
      <c r="G15" s="2505" t="s">
        <v>2452</v>
      </c>
    </row>
    <row r="16" spans="1:25" s="2188" customFormat="1" ht="48">
      <c r="A16" s="2497">
        <v>3</v>
      </c>
      <c r="B16" s="750" t="s">
        <v>616</v>
      </c>
      <c r="C16" s="2501"/>
      <c r="D16" s="762"/>
      <c r="E16" s="751"/>
      <c r="F16" s="763"/>
      <c r="G16" s="761" t="s">
        <v>2454</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0" t="s">
        <v>617</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0" t="s">
        <v>618</v>
      </c>
      <c r="C18" s="751">
        <f>ROUND((C7+C10+C16)*F18,0)</f>
        <v>0</v>
      </c>
      <c r="D18" s="764"/>
      <c r="E18" s="765"/>
      <c r="F18" s="763">
        <f>'数据-取费表'!Q16</f>
        <v>0.21</v>
      </c>
      <c r="G18" s="767"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0" t="s">
        <v>620</v>
      </c>
      <c r="C19" s="751">
        <f ca="1">C7+C10+C16+C17+C18</f>
        <v>0</v>
      </c>
      <c r="D19" s="762"/>
      <c r="E19" s="751"/>
      <c r="F19" s="763"/>
      <c r="G19" s="767"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0" t="s">
        <v>622</v>
      </c>
      <c r="C20" s="751">
        <f ca="1">ROUND(C19*F20,0)</f>
        <v>0</v>
      </c>
      <c r="D20" s="762"/>
      <c r="E20" s="751"/>
      <c r="F20" s="1351"/>
      <c r="G20" s="767"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0" t="s">
        <v>624</v>
      </c>
      <c r="C21" s="751">
        <f ca="1">C19+C20</f>
        <v>0</v>
      </c>
      <c r="D21" s="762"/>
      <c r="E21" s="751"/>
      <c r="F21" s="763"/>
      <c r="G21" s="767"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0" t="s">
        <v>626</v>
      </c>
      <c r="C22" s="751">
        <f ca="1">ROUND(C21*F22,0)</f>
        <v>0</v>
      </c>
      <c r="D22" s="762"/>
      <c r="E22" s="751"/>
      <c r="F22" s="768">
        <f>'数据-取费表'!AP16</f>
        <v>0.86299999999999999</v>
      </c>
      <c r="G22" s="767"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69" t="s">
        <v>628</v>
      </c>
      <c r="C23" s="770">
        <f ca="1">C22</f>
        <v>0</v>
      </c>
      <c r="D23" s="771"/>
      <c r="E23" s="770"/>
      <c r="F23" s="772"/>
      <c r="G23" s="773"/>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2651" t="s">
        <v>720</v>
      </c>
      <c r="C1" s="2652" t="s">
        <v>721</v>
      </c>
      <c r="D1" s="2653"/>
      <c r="E1" s="2654"/>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0" t="e">
        <f>ROUND(B3*D3/10000,0)</f>
        <v>#DIV/0!</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723</v>
      </c>
      <c r="D3" s="853">
        <f>SUMIF('数据-汇总表'!$C19:$C33,D1,'数据-汇总表'!$E19:$E33)</f>
        <v>0</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4" t="s">
        <v>522</v>
      </c>
      <c r="B4" s="515"/>
      <c r="C4" s="3366" t="s">
        <v>523</v>
      </c>
      <c r="D4" s="3367"/>
      <c r="E4" s="3400" t="s">
        <v>524</v>
      </c>
      <c r="F4" s="3401"/>
      <c r="G4" s="3366" t="s">
        <v>525</v>
      </c>
      <c r="H4" s="3367"/>
      <c r="I4" s="3366" t="s">
        <v>526</v>
      </c>
      <c r="J4" s="3367"/>
      <c r="K4" s="855" t="s">
        <v>527</v>
      </c>
      <c r="L4" s="2137"/>
      <c r="M4" s="2138"/>
      <c r="N4" s="2138"/>
      <c r="O4" s="2138"/>
      <c r="P4" s="3368" t="s">
        <v>528</v>
      </c>
      <c r="Q4" s="3369"/>
      <c r="R4" s="3374" t="s">
        <v>524</v>
      </c>
      <c r="S4" s="3375"/>
      <c r="T4" s="3374" t="s">
        <v>525</v>
      </c>
      <c r="U4" s="3375"/>
      <c r="V4" s="3361" t="s">
        <v>526</v>
      </c>
      <c r="W4" s="3361"/>
      <c r="X4" s="1570"/>
      <c r="Y4" s="3374" t="s">
        <v>528</v>
      </c>
      <c r="Z4" s="3375"/>
      <c r="AA4" s="3363" t="s">
        <v>524</v>
      </c>
      <c r="AB4" s="3363" t="s">
        <v>525</v>
      </c>
      <c r="AC4" s="3363" t="s">
        <v>526</v>
      </c>
    </row>
    <row r="5" spans="1:29" ht="15">
      <c r="A5" s="517"/>
      <c r="B5" s="518"/>
      <c r="C5" s="3382" t="s">
        <v>2936</v>
      </c>
      <c r="D5" s="3383"/>
      <c r="E5" s="3402" t="s">
        <v>2937</v>
      </c>
      <c r="F5" s="3403"/>
      <c r="G5" s="3382" t="s">
        <v>2938</v>
      </c>
      <c r="H5" s="3383"/>
      <c r="I5" s="3382" t="s">
        <v>2939</v>
      </c>
      <c r="J5" s="3383"/>
      <c r="K5" s="85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85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43032</v>
      </c>
      <c r="D7" s="522">
        <v>100</v>
      </c>
      <c r="E7" s="523"/>
      <c r="F7" s="524">
        <f>SUMIF(58:58,YEAR(E7)&amp;"-"&amp;MONTH(E7),59:59)</f>
        <v>0</v>
      </c>
      <c r="G7" s="525"/>
      <c r="H7" s="522">
        <f>SUMIF(58:58,YEAR(G7)&amp;"-"&amp;MONTH(G7),59:59)</f>
        <v>0</v>
      </c>
      <c r="I7" s="525"/>
      <c r="J7" s="522">
        <f>SUMIF(58:58,YEAR(I7)&amp;"-"&amp;MONTH(I7),59:59)</f>
        <v>0</v>
      </c>
      <c r="K7" s="857"/>
      <c r="L7" s="2139"/>
      <c r="M7" s="2140"/>
      <c r="N7" s="2140"/>
      <c r="O7" s="2140"/>
      <c r="P7" s="3391" t="s">
        <v>531</v>
      </c>
      <c r="Q7" s="3393"/>
      <c r="R7" s="1571" t="s">
        <v>13</v>
      </c>
      <c r="S7" s="1572">
        <f t="shared" ref="S7:S15" si="0">F7</f>
        <v>0</v>
      </c>
      <c r="T7" s="1571" t="s">
        <v>13</v>
      </c>
      <c r="U7" s="1572">
        <f t="shared" ref="U7:U15" si="1">H7</f>
        <v>0</v>
      </c>
      <c r="V7" s="1571" t="s">
        <v>13</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858"/>
      <c r="F8" s="524">
        <f>SUMIF(61:61,E8,62:62)-SUMIF(61:61,C8,62:62)+100</f>
        <v>0</v>
      </c>
      <c r="G8" s="527"/>
      <c r="H8" s="522">
        <f>SUMIF(61:61,G8,62:62)-SUMIF(61:61,C8,62:62)+100</f>
        <v>0</v>
      </c>
      <c r="I8" s="858"/>
      <c r="J8" s="522">
        <f>SUMIF(61:61,I8,62:62)-SUMIF(61:61,C8,62:62)+100</f>
        <v>0</v>
      </c>
      <c r="K8" s="857"/>
      <c r="L8" s="2139"/>
      <c r="M8" s="2140"/>
      <c r="N8" s="2140"/>
      <c r="O8" s="2140"/>
      <c r="P8" s="3391" t="s">
        <v>534</v>
      </c>
      <c r="Q8" s="3392"/>
      <c r="R8" s="1571" t="s">
        <v>13</v>
      </c>
      <c r="S8" s="1572">
        <f t="shared" si="0"/>
        <v>0</v>
      </c>
      <c r="T8" s="1571" t="s">
        <v>13</v>
      </c>
      <c r="U8" s="1572">
        <f t="shared" si="1"/>
        <v>0</v>
      </c>
      <c r="V8" s="1571" t="s">
        <v>13</v>
      </c>
      <c r="W8" s="1572">
        <f t="shared" si="2"/>
        <v>0</v>
      </c>
      <c r="X8" s="1573"/>
      <c r="Y8" s="3391" t="s">
        <v>534</v>
      </c>
      <c r="Z8" s="3392"/>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0"/>
      <c r="F9" s="861">
        <f>SUMIF(63:63,E9,64:64)-SUMIF(63:63,C9,64:64)+100</f>
        <v>100</v>
      </c>
      <c r="G9" s="862"/>
      <c r="H9" s="253">
        <f>SUMIF(63:63,G9,64:64)-SUMIF(63:63,C9,64:64)+100</f>
        <v>100</v>
      </c>
      <c r="I9" s="862"/>
      <c r="J9" s="253">
        <f>SUMIF(63:63,I9,64:64)-SUMIF(63:63,C9,64:64)+100</f>
        <v>100</v>
      </c>
      <c r="K9" s="857"/>
      <c r="L9" s="2139"/>
      <c r="M9" s="2140"/>
      <c r="N9" s="2140"/>
      <c r="O9" s="2141"/>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4"/>
      <c r="F10" s="865">
        <f>SUMIF(65:65,E10,66:66)-SUMIF(65:65,C10,66:66)+100</f>
        <v>100</v>
      </c>
      <c r="G10" s="863"/>
      <c r="H10" s="254">
        <f>SUMIF(65:65,G10,66:66)-SUMIF(65:65,C10,66:66)+100</f>
        <v>100</v>
      </c>
      <c r="I10" s="863"/>
      <c r="J10" s="254">
        <f>SUMIF(65:65,I10,66:66)-SUMIF(65:65,C10,66:66)+100</f>
        <v>100</v>
      </c>
      <c r="K10" s="86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4"/>
      <c r="M11" s="2138"/>
      <c r="N11" s="2138"/>
      <c r="O11" s="2145"/>
      <c r="P11" s="3360"/>
      <c r="Q11" s="1153" t="str">
        <f t="shared" si="6"/>
        <v>容积率</v>
      </c>
      <c r="R11" s="1571" t="s">
        <v>11</v>
      </c>
      <c r="S11" s="1572" t="e">
        <f t="shared" si="0"/>
        <v>#N/A</v>
      </c>
      <c r="T11" s="1571" t="s">
        <v>11</v>
      </c>
      <c r="U11" s="1572" t="e">
        <f t="shared" si="1"/>
        <v>#N/A</v>
      </c>
      <c r="V11" s="1571" t="s">
        <v>11</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865">
        <f>SUMIF(70:70,E12,71:71)-SUMIF(70:70,C12,71:71)+100</f>
        <v>100</v>
      </c>
      <c r="G12" s="530"/>
      <c r="H12" s="254">
        <f>SUMIF(70:70,G12,71:71)-SUMIF(70:70,C12,71:71)+100</f>
        <v>100</v>
      </c>
      <c r="I12" s="530"/>
      <c r="J12" s="254">
        <f>SUMIF(70:70,I12,71:71)-SUMIF(70:70,C12,71:71)+100</f>
        <v>100</v>
      </c>
      <c r="K12" s="867"/>
      <c r="L12" s="2139"/>
      <c r="M12" s="2140"/>
      <c r="N12" s="2140"/>
      <c r="O12" s="2141"/>
      <c r="P12" s="3360"/>
      <c r="Q12" s="1153">
        <f t="shared" si="6"/>
        <v>111</v>
      </c>
      <c r="R12" s="1571" t="s">
        <v>11</v>
      </c>
      <c r="S12" s="1572">
        <f t="shared" si="0"/>
        <v>100</v>
      </c>
      <c r="T12" s="1571" t="s">
        <v>11</v>
      </c>
      <c r="U12" s="1572">
        <f t="shared" si="1"/>
        <v>100</v>
      </c>
      <c r="V12" s="1571" t="s">
        <v>11</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41"/>
      <c r="F13" s="865">
        <f>SUMIF(72:72,E13,73:73)-SUMIF(72:72,C13,73:73)+100</f>
        <v>100</v>
      </c>
      <c r="G13" s="541"/>
      <c r="H13" s="542">
        <f>SUMIF(72:72,G13,73:73)-SUMIF(72:72,C13,73:73)+100</f>
        <v>100</v>
      </c>
      <c r="I13" s="541"/>
      <c r="J13" s="542">
        <f>SUMIF(72:72,I13,73:73)-SUMIF(72:72,C13,73:73)+100</f>
        <v>100</v>
      </c>
      <c r="K13" s="867"/>
      <c r="L13" s="2146"/>
      <c r="M13" s="2138"/>
      <c r="N13" s="2138"/>
      <c r="O13" s="2145"/>
      <c r="P13" s="3360"/>
      <c r="Q13" s="1153">
        <f t="shared" si="6"/>
        <v>111</v>
      </c>
      <c r="R13" s="1571" t="s">
        <v>11</v>
      </c>
      <c r="S13" s="1572">
        <f t="shared" si="0"/>
        <v>100</v>
      </c>
      <c r="T13" s="1571" t="s">
        <v>11</v>
      </c>
      <c r="U13" s="1572">
        <f t="shared" si="1"/>
        <v>100</v>
      </c>
      <c r="V13" s="1571" t="s">
        <v>11</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547"/>
      <c r="F14" s="868">
        <f>SUMIF(74:74,E14,75:75)-SUMIF(74:74,C14,75:75)+100</f>
        <v>100</v>
      </c>
      <c r="G14" s="547"/>
      <c r="H14" s="548">
        <f>SUMIF(74:74,G14,75:75)-SUMIF(74:74,C14,75:75)+100</f>
        <v>100</v>
      </c>
      <c r="I14" s="547"/>
      <c r="J14" s="548">
        <f>SUMIF(74:74,I14,75:75)-SUMIF(74:74,C14,75:75)+100</f>
        <v>100</v>
      </c>
      <c r="K14" s="867"/>
      <c r="L14" s="2146"/>
      <c r="M14" s="2138"/>
      <c r="N14" s="2138"/>
      <c r="O14" s="2145"/>
      <c r="P14" s="3360"/>
      <c r="Q14" s="1153">
        <f t="shared" si="6"/>
        <v>111</v>
      </c>
      <c r="R14" s="1571" t="s">
        <v>11</v>
      </c>
      <c r="S14" s="1572">
        <f t="shared" si="0"/>
        <v>100</v>
      </c>
      <c r="T14" s="1571" t="s">
        <v>11</v>
      </c>
      <c r="U14" s="1572">
        <f t="shared" si="1"/>
        <v>100</v>
      </c>
      <c r="V14" s="1571" t="s">
        <v>11</v>
      </c>
      <c r="W14" s="1572">
        <f t="shared" si="2"/>
        <v>100</v>
      </c>
      <c r="X14" s="1573"/>
      <c r="Y14" s="3306"/>
      <c r="Z14" s="1152">
        <f t="shared" si="7"/>
        <v>111</v>
      </c>
      <c r="AA14" s="1574">
        <f t="shared" si="3"/>
        <v>1</v>
      </c>
      <c r="AB14" s="1574">
        <f t="shared" si="4"/>
        <v>1</v>
      </c>
      <c r="AC14" s="1574">
        <f t="shared" si="5"/>
        <v>1</v>
      </c>
    </row>
    <row r="15" spans="1:29" ht="99.75">
      <c r="A15" s="2940" t="s">
        <v>2760</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6"/>
      <c r="M15" s="2138"/>
      <c r="N15" s="2138"/>
      <c r="O15" s="2145"/>
      <c r="P15" s="3394" t="s">
        <v>541</v>
      </c>
      <c r="Q15" s="1575" t="str">
        <f t="shared" si="6"/>
        <v>居住社区成熟度</v>
      </c>
      <c r="R15" s="1576" t="s">
        <v>11</v>
      </c>
      <c r="S15" s="1577">
        <f t="shared" si="0"/>
        <v>100</v>
      </c>
      <c r="T15" s="1576" t="s">
        <v>11</v>
      </c>
      <c r="U15" s="1577">
        <f t="shared" si="1"/>
        <v>100</v>
      </c>
      <c r="V15" s="1576" t="s">
        <v>11</v>
      </c>
      <c r="W15" s="1577">
        <f t="shared" si="2"/>
        <v>100</v>
      </c>
      <c r="X15" s="1570"/>
      <c r="Y15" s="3394"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46"/>
      <c r="M16" s="2138"/>
      <c r="N16" s="2138"/>
      <c r="O16" s="2145"/>
      <c r="P16" s="3395"/>
      <c r="Q16" s="1575"/>
      <c r="R16" s="1576"/>
      <c r="S16" s="1577"/>
      <c r="T16" s="1576"/>
      <c r="U16" s="1577"/>
      <c r="V16" s="1576"/>
      <c r="W16" s="1577"/>
      <c r="X16" s="1570"/>
      <c r="Y16" s="3395"/>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6"/>
      <c r="M17" s="2138"/>
      <c r="N17" s="2138"/>
      <c r="O17" s="2145"/>
      <c r="P17" s="3395"/>
      <c r="Q17" s="1575" t="str">
        <f>B17</f>
        <v>交通便捷度</v>
      </c>
      <c r="R17" s="1576" t="s">
        <v>11</v>
      </c>
      <c r="S17" s="1577">
        <f>F17</f>
        <v>100</v>
      </c>
      <c r="T17" s="1576" t="s">
        <v>11</v>
      </c>
      <c r="U17" s="1577">
        <f>H17</f>
        <v>100</v>
      </c>
      <c r="V17" s="1576" t="s">
        <v>11</v>
      </c>
      <c r="W17" s="1577">
        <f>J17</f>
        <v>100</v>
      </c>
      <c r="X17" s="1570"/>
      <c r="Y17" s="3395"/>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46"/>
      <c r="M18" s="2138"/>
      <c r="N18" s="2138"/>
      <c r="O18" s="2145"/>
      <c r="P18" s="3395"/>
      <c r="Q18" s="1575"/>
      <c r="R18" s="1576"/>
      <c r="S18" s="1577"/>
      <c r="T18" s="1576"/>
      <c r="U18" s="1577"/>
      <c r="V18" s="1576"/>
      <c r="W18" s="1577"/>
      <c r="X18" s="1570"/>
      <c r="Y18" s="3395"/>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6"/>
      <c r="M19" s="2138"/>
      <c r="N19" s="2138"/>
      <c r="O19" s="2145"/>
      <c r="P19" s="3395"/>
      <c r="Q19" s="1575" t="str">
        <f>B19</f>
        <v>公共配套设施</v>
      </c>
      <c r="R19" s="1576" t="s">
        <v>11</v>
      </c>
      <c r="S19" s="1577">
        <f>F19</f>
        <v>100</v>
      </c>
      <c r="T19" s="1576" t="s">
        <v>11</v>
      </c>
      <c r="U19" s="1577">
        <f>H19</f>
        <v>100</v>
      </c>
      <c r="V19" s="1576" t="s">
        <v>11</v>
      </c>
      <c r="W19" s="1577">
        <f>J19</f>
        <v>100</v>
      </c>
      <c r="X19" s="1570"/>
      <c r="Y19" s="3395"/>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6"/>
      <c r="M21" s="2138"/>
      <c r="N21" s="2138"/>
      <c r="O21" s="2145"/>
      <c r="P21" s="3395"/>
      <c r="Q21" s="2607" t="str">
        <f>B21</f>
        <v>基础设施水平</v>
      </c>
      <c r="R21" s="1576" t="s">
        <v>11</v>
      </c>
      <c r="S21" s="1577">
        <f>F21</f>
        <v>100</v>
      </c>
      <c r="T21" s="1576" t="s">
        <v>11</v>
      </c>
      <c r="U21" s="1577">
        <f>H21</f>
        <v>100</v>
      </c>
      <c r="V21" s="1576" t="s">
        <v>11</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27"/>
      <c r="L22" s="2146"/>
      <c r="M22" s="2138"/>
      <c r="N22" s="2138"/>
      <c r="O22" s="2145"/>
      <c r="P22" s="3395"/>
      <c r="Q22" s="2607"/>
      <c r="R22" s="1576"/>
      <c r="S22" s="1577"/>
      <c r="T22" s="1576"/>
      <c r="U22" s="1577"/>
      <c r="V22" s="1576"/>
      <c r="W22" s="1577"/>
      <c r="X22" s="2609"/>
      <c r="Y22" s="3395"/>
      <c r="Z22" s="2608"/>
      <c r="AA22" s="1579">
        <v>1</v>
      </c>
      <c r="AB22" s="1579">
        <v>1</v>
      </c>
      <c r="AC22" s="1579">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6"/>
      <c r="M23" s="2138"/>
      <c r="N23" s="2138"/>
      <c r="O23" s="2145"/>
      <c r="P23" s="3395"/>
      <c r="Q23" s="1575" t="str">
        <f>B23</f>
        <v>自然及人文环境</v>
      </c>
      <c r="R23" s="1576" t="s">
        <v>11</v>
      </c>
      <c r="S23" s="1577">
        <f>F23</f>
        <v>100</v>
      </c>
      <c r="T23" s="1576" t="s">
        <v>11</v>
      </c>
      <c r="U23" s="1577">
        <f>H23</f>
        <v>100</v>
      </c>
      <c r="V23" s="1576" t="s">
        <v>11</v>
      </c>
      <c r="W23" s="1577">
        <f>J23</f>
        <v>100</v>
      </c>
      <c r="X23" s="1570"/>
      <c r="Y23" s="3395"/>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46"/>
      <c r="M24" s="2138"/>
      <c r="N24" s="2138"/>
      <c r="O24" s="2145"/>
      <c r="P24" s="3395"/>
      <c r="Q24" s="1575"/>
      <c r="R24" s="1576"/>
      <c r="S24" s="1577"/>
      <c r="T24" s="1576"/>
      <c r="U24" s="1577"/>
      <c r="V24" s="1576"/>
      <c r="W24" s="1577"/>
      <c r="X24" s="1570"/>
      <c r="Y24" s="3395"/>
      <c r="Z24" s="1578"/>
      <c r="AA24" s="1579">
        <v>1</v>
      </c>
      <c r="AB24" s="1579">
        <v>1</v>
      </c>
      <c r="AC24" s="1579">
        <v>1</v>
      </c>
    </row>
    <row r="25" spans="1:29" ht="15">
      <c r="A25" s="534"/>
      <c r="B25" s="1899" t="s">
        <v>2257</v>
      </c>
      <c r="C25" s="576"/>
      <c r="D25" s="542">
        <v>100</v>
      </c>
      <c r="E25" s="876"/>
      <c r="F25" s="577">
        <f>SUMIF(86:86,E25,87:87)-SUMIF(86:86,C25,87:87)+100</f>
        <v>100</v>
      </c>
      <c r="G25" s="601"/>
      <c r="H25" s="542">
        <f>SUMIF(86:86,G25,87:87)-SUMIF(86:86,C25,87:87)+100</f>
        <v>100</v>
      </c>
      <c r="I25" s="876"/>
      <c r="J25" s="542">
        <f>SUMIF(86:86,I25,87:87)-SUMIF(86:86,C25,87:87)+100</f>
        <v>100</v>
      </c>
      <c r="K25" s="866"/>
      <c r="L25" s="2146"/>
      <c r="M25" s="2138"/>
      <c r="N25" s="2138"/>
      <c r="O25" s="2145"/>
      <c r="P25" s="3395"/>
      <c r="Q25" s="1575" t="str">
        <f t="shared" ref="Q25:Q46" si="11">B25</f>
        <v>楼层-1</v>
      </c>
      <c r="R25" s="1576" t="s">
        <v>11</v>
      </c>
      <c r="S25" s="1577">
        <f>F25</f>
        <v>100</v>
      </c>
      <c r="T25" s="1576" t="s">
        <v>11</v>
      </c>
      <c r="U25" s="1577">
        <f>H25</f>
        <v>100</v>
      </c>
      <c r="V25" s="1576" t="s">
        <v>11</v>
      </c>
      <c r="W25" s="1577">
        <f>J25</f>
        <v>100</v>
      </c>
      <c r="X25" s="1570"/>
      <c r="Y25" s="3395"/>
      <c r="Z25" s="1578" t="str">
        <f>Q25</f>
        <v>楼层-1</v>
      </c>
      <c r="AA25" s="1579">
        <f t="shared" si="3"/>
        <v>1</v>
      </c>
      <c r="AB25" s="1579">
        <f t="shared" si="4"/>
        <v>1</v>
      </c>
      <c r="AC25" s="1579">
        <f t="shared" si="5"/>
        <v>1</v>
      </c>
    </row>
    <row r="26" spans="1:29" ht="15">
      <c r="A26" s="534"/>
      <c r="B26" s="529" t="s">
        <v>724</v>
      </c>
      <c r="C26" s="576"/>
      <c r="D26" s="542">
        <v>100</v>
      </c>
      <c r="E26" s="876"/>
      <c r="F26" s="577">
        <f>SUMIF(88:88,E26,89:89)-SUMIF(88:88,C26,89:89)+100</f>
        <v>100</v>
      </c>
      <c r="G26" s="601"/>
      <c r="H26" s="542">
        <f>SUMIF(88:88,G26,89:89)-SUMIF(88:88,C26,89:89)+100</f>
        <v>100</v>
      </c>
      <c r="I26" s="876"/>
      <c r="J26" s="542">
        <f>SUMIF(88:88,I26,89:89)-SUMIF(88:88,C26,89:89)+100</f>
        <v>100</v>
      </c>
      <c r="K26" s="866"/>
      <c r="L26" s="2146"/>
      <c r="M26" s="2138"/>
      <c r="N26" s="2138"/>
      <c r="O26" s="2145"/>
      <c r="P26" s="3395"/>
      <c r="Q26" s="1575" t="str">
        <f t="shared" si="11"/>
        <v>朝向</v>
      </c>
      <c r="R26" s="1576" t="s">
        <v>11</v>
      </c>
      <c r="S26" s="1577">
        <f>F26</f>
        <v>100</v>
      </c>
      <c r="T26" s="1576" t="s">
        <v>11</v>
      </c>
      <c r="U26" s="1577">
        <f>H26</f>
        <v>100</v>
      </c>
      <c r="V26" s="1576" t="s">
        <v>11</v>
      </c>
      <c r="W26" s="1577">
        <f>J26</f>
        <v>100</v>
      </c>
      <c r="X26" s="1570"/>
      <c r="Y26" s="3395"/>
      <c r="Z26" s="1578" t="str">
        <f>Q26</f>
        <v>朝向</v>
      </c>
      <c r="AA26" s="1579">
        <f t="shared" si="3"/>
        <v>1</v>
      </c>
      <c r="AB26" s="1579">
        <f t="shared" si="4"/>
        <v>1</v>
      </c>
      <c r="AC26" s="1579">
        <f t="shared" si="5"/>
        <v>1</v>
      </c>
    </row>
    <row r="27" spans="1:29" s="1222" customFormat="1" ht="15">
      <c r="A27" s="538"/>
      <c r="B27" s="539" t="s">
        <v>725</v>
      </c>
      <c r="C27" s="530"/>
      <c r="D27" s="877">
        <v>100</v>
      </c>
      <c r="E27" s="532"/>
      <c r="F27" s="878">
        <f>SUMIF(90:90,E27,91:91)-SUMIF(90:90,C27,91:91)+100</f>
        <v>100</v>
      </c>
      <c r="G27" s="531"/>
      <c r="H27" s="877">
        <f>SUMIF(90:90,G27,91:91)-SUMIF(90:90,C27,91:91)+100</f>
        <v>100</v>
      </c>
      <c r="I27" s="532"/>
      <c r="J27" s="877">
        <f>SUMIF(90:90,I27,91:91)-SUMIF(90:90,C27,91:91)+100</f>
        <v>100</v>
      </c>
      <c r="K27" s="867"/>
      <c r="L27" s="2139"/>
      <c r="M27" s="2140"/>
      <c r="N27" s="2140"/>
      <c r="O27" s="2141"/>
      <c r="P27" s="3395"/>
      <c r="Q27" s="1153" t="str">
        <f t="shared" si="11"/>
        <v>道路级别</v>
      </c>
      <c r="R27" s="1571" t="s">
        <v>11</v>
      </c>
      <c r="S27" s="1572">
        <f>F27</f>
        <v>100</v>
      </c>
      <c r="T27" s="1571" t="s">
        <v>11</v>
      </c>
      <c r="U27" s="1572">
        <f>H27</f>
        <v>100</v>
      </c>
      <c r="V27" s="1571" t="s">
        <v>11</v>
      </c>
      <c r="W27" s="1572">
        <f>J27</f>
        <v>100</v>
      </c>
      <c r="X27" s="1573"/>
      <c r="Y27" s="3395"/>
      <c r="Z27" s="1152" t="str">
        <f>Q27</f>
        <v>道路级别</v>
      </c>
      <c r="AA27" s="1579">
        <f>D27/F27</f>
        <v>1</v>
      </c>
      <c r="AB27" s="1579">
        <f>D27/H27</f>
        <v>1</v>
      </c>
      <c r="AC27" s="1579">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6"/>
      <c r="M28" s="2138"/>
      <c r="N28" s="2138"/>
      <c r="O28" s="2145"/>
      <c r="P28" s="3395"/>
      <c r="Q28" s="1575">
        <f t="shared" si="11"/>
        <v>111</v>
      </c>
      <c r="R28" s="1576" t="s">
        <v>11</v>
      </c>
      <c r="S28" s="1577">
        <f t="shared" ref="S28:S46" si="12">F28</f>
        <v>100</v>
      </c>
      <c r="T28" s="1576" t="s">
        <v>11</v>
      </c>
      <c r="U28" s="1577">
        <f t="shared" ref="U28:U46" si="13">H28</f>
        <v>100</v>
      </c>
      <c r="V28" s="1576" t="s">
        <v>11</v>
      </c>
      <c r="W28" s="1577">
        <f t="shared" ref="W28:W46" si="14">J28</f>
        <v>100</v>
      </c>
      <c r="X28" s="1570"/>
      <c r="Y28" s="3395"/>
      <c r="Z28" s="1578">
        <f t="shared" ref="Z28:Z46" si="15">Q28</f>
        <v>111</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6"/>
      <c r="M29" s="2138"/>
      <c r="N29" s="2138"/>
      <c r="O29" s="2145"/>
      <c r="P29" s="3395"/>
      <c r="Q29" s="1575">
        <f t="shared" si="11"/>
        <v>111</v>
      </c>
      <c r="R29" s="1576" t="s">
        <v>11</v>
      </c>
      <c r="S29" s="1577">
        <f t="shared" si="12"/>
        <v>100</v>
      </c>
      <c r="T29" s="1576" t="s">
        <v>11</v>
      </c>
      <c r="U29" s="1577">
        <f t="shared" si="13"/>
        <v>100</v>
      </c>
      <c r="V29" s="1576" t="s">
        <v>11</v>
      </c>
      <c r="W29" s="1577">
        <f t="shared" si="14"/>
        <v>100</v>
      </c>
      <c r="X29" s="1570"/>
      <c r="Y29" s="3395"/>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6"/>
      <c r="M30" s="2138"/>
      <c r="N30" s="2138"/>
      <c r="O30" s="2145"/>
      <c r="P30" s="3395"/>
      <c r="Q30" s="1575">
        <f t="shared" si="11"/>
        <v>111</v>
      </c>
      <c r="R30" s="1576" t="s">
        <v>11</v>
      </c>
      <c r="S30" s="1577">
        <f t="shared" si="12"/>
        <v>100</v>
      </c>
      <c r="T30" s="1576" t="s">
        <v>11</v>
      </c>
      <c r="U30" s="1577">
        <f t="shared" si="13"/>
        <v>100</v>
      </c>
      <c r="V30" s="1576" t="s">
        <v>11</v>
      </c>
      <c r="W30" s="1577">
        <f t="shared" si="14"/>
        <v>100</v>
      </c>
      <c r="X30" s="1570"/>
      <c r="Y30" s="3395"/>
      <c r="Z30" s="1578">
        <f t="shared" si="15"/>
        <v>111</v>
      </c>
      <c r="AA30" s="1579">
        <f t="shared" si="3"/>
        <v>1</v>
      </c>
      <c r="AB30" s="1579">
        <f t="shared" si="4"/>
        <v>1</v>
      </c>
      <c r="AC30" s="1579">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6"/>
      <c r="M31" s="2138"/>
      <c r="N31" s="2138"/>
      <c r="O31" s="2145"/>
      <c r="P31" s="3395"/>
      <c r="Q31" s="1575">
        <f t="shared" si="11"/>
        <v>111</v>
      </c>
      <c r="R31" s="1576" t="s">
        <v>11</v>
      </c>
      <c r="S31" s="1577">
        <f t="shared" si="12"/>
        <v>100</v>
      </c>
      <c r="T31" s="1576" t="s">
        <v>11</v>
      </c>
      <c r="U31" s="1577">
        <f t="shared" si="13"/>
        <v>100</v>
      </c>
      <c r="V31" s="1576" t="s">
        <v>11</v>
      </c>
      <c r="W31" s="1577">
        <f t="shared" si="14"/>
        <v>100</v>
      </c>
      <c r="X31" s="1570"/>
      <c r="Y31" s="3395"/>
      <c r="Z31" s="1578">
        <f t="shared" si="15"/>
        <v>111</v>
      </c>
      <c r="AA31" s="1579">
        <f t="shared" si="3"/>
        <v>1</v>
      </c>
      <c r="AB31" s="1579">
        <f t="shared" si="4"/>
        <v>1</v>
      </c>
      <c r="AC31" s="1579">
        <f t="shared" si="5"/>
        <v>1</v>
      </c>
    </row>
    <row r="32" spans="1:29" ht="15">
      <c r="A32" s="2937" t="s">
        <v>2761</v>
      </c>
      <c r="B32" s="172" t="s">
        <v>726</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6"/>
      <c r="M32" s="2138"/>
      <c r="N32" s="2138"/>
      <c r="O32" s="2145"/>
      <c r="P32" s="3396" t="s">
        <v>551</v>
      </c>
      <c r="Q32" s="1575" t="str">
        <f t="shared" si="11"/>
        <v>建筑类型</v>
      </c>
      <c r="R32" s="1576" t="s">
        <v>11</v>
      </c>
      <c r="S32" s="1577">
        <f t="shared" si="12"/>
        <v>100</v>
      </c>
      <c r="T32" s="1576" t="s">
        <v>11</v>
      </c>
      <c r="U32" s="1577">
        <f t="shared" si="13"/>
        <v>100</v>
      </c>
      <c r="V32" s="1576" t="s">
        <v>11</v>
      </c>
      <c r="W32" s="1577">
        <f t="shared" si="14"/>
        <v>100</v>
      </c>
      <c r="X32" s="1570"/>
      <c r="Y32" s="3397" t="s">
        <v>551</v>
      </c>
      <c r="Z32" s="1578" t="str">
        <f t="shared" si="15"/>
        <v>建筑类型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4"/>
      <c r="M33" s="2175"/>
      <c r="N33" s="2175"/>
      <c r="O33" s="2147"/>
      <c r="P33" s="3397"/>
      <c r="Q33" s="1608" t="str">
        <f t="shared" si="11"/>
        <v>项目建筑规模</v>
      </c>
      <c r="R33" s="1580" t="s">
        <v>11</v>
      </c>
      <c r="S33" s="1581" t="e">
        <f t="shared" si="12"/>
        <v>#N/A</v>
      </c>
      <c r="T33" s="1580" t="s">
        <v>11</v>
      </c>
      <c r="U33" s="1581" t="e">
        <f t="shared" si="13"/>
        <v>#N/A</v>
      </c>
      <c r="V33" s="1580" t="s">
        <v>11</v>
      </c>
      <c r="W33" s="1581" t="e">
        <f t="shared" si="14"/>
        <v>#N/A</v>
      </c>
      <c r="X33" s="1582"/>
      <c r="Y33" s="3397"/>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6"/>
      <c r="M34" s="2138"/>
      <c r="N34" s="2138"/>
      <c r="O34" s="2145"/>
      <c r="P34" s="3397"/>
      <c r="Q34" s="1575" t="str">
        <f t="shared" si="11"/>
        <v>建筑结构</v>
      </c>
      <c r="R34" s="1576" t="s">
        <v>11</v>
      </c>
      <c r="S34" s="1577">
        <f t="shared" si="12"/>
        <v>100</v>
      </c>
      <c r="T34" s="1576" t="s">
        <v>11</v>
      </c>
      <c r="U34" s="1577">
        <f t="shared" si="13"/>
        <v>100</v>
      </c>
      <c r="V34" s="1576" t="s">
        <v>11</v>
      </c>
      <c r="W34" s="1577">
        <f t="shared" si="14"/>
        <v>100</v>
      </c>
      <c r="X34" s="1570"/>
      <c r="Y34" s="3397"/>
      <c r="Z34" s="1578" t="str">
        <f t="shared" si="15"/>
        <v>建筑结构</v>
      </c>
      <c r="AA34" s="1579">
        <f t="shared" si="3"/>
        <v>1</v>
      </c>
      <c r="AB34" s="1579">
        <f t="shared" si="4"/>
        <v>1</v>
      </c>
      <c r="AC34" s="1579">
        <f t="shared" si="5"/>
        <v>1</v>
      </c>
    </row>
    <row r="35" spans="1:29" ht="15">
      <c r="A35" s="596"/>
      <c r="B35" s="529" t="s">
        <v>729</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6"/>
      <c r="M35" s="2138"/>
      <c r="N35" s="2138"/>
      <c r="O35" s="2145"/>
      <c r="P35" s="3397"/>
      <c r="Q35" s="1575" t="str">
        <f t="shared" si="11"/>
        <v>建筑品质</v>
      </c>
      <c r="R35" s="1576" t="s">
        <v>11</v>
      </c>
      <c r="S35" s="1577">
        <f t="shared" si="12"/>
        <v>100</v>
      </c>
      <c r="T35" s="1576" t="s">
        <v>11</v>
      </c>
      <c r="U35" s="1577">
        <f t="shared" si="13"/>
        <v>100</v>
      </c>
      <c r="V35" s="1576" t="s">
        <v>11</v>
      </c>
      <c r="W35" s="1577">
        <f t="shared" si="14"/>
        <v>100</v>
      </c>
      <c r="X35" s="1570"/>
      <c r="Y35" s="3397"/>
      <c r="Z35" s="1578" t="str">
        <f t="shared" si="15"/>
        <v>建筑品质</v>
      </c>
      <c r="AA35" s="1579">
        <f t="shared" si="3"/>
        <v>1</v>
      </c>
      <c r="AB35" s="1579">
        <f t="shared" si="4"/>
        <v>1</v>
      </c>
      <c r="AC35" s="1579">
        <f t="shared" si="5"/>
        <v>1</v>
      </c>
    </row>
    <row r="36" spans="1:29" ht="15">
      <c r="A36" s="596"/>
      <c r="B36" s="529" t="s">
        <v>730</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6"/>
      <c r="M36" s="2138"/>
      <c r="N36" s="2138"/>
      <c r="O36" s="2145"/>
      <c r="P36" s="3397"/>
      <c r="Q36" s="1575" t="str">
        <f t="shared" si="11"/>
        <v>公共部分装修</v>
      </c>
      <c r="R36" s="1576" t="s">
        <v>11</v>
      </c>
      <c r="S36" s="1577">
        <f t="shared" si="12"/>
        <v>100</v>
      </c>
      <c r="T36" s="1576" t="s">
        <v>11</v>
      </c>
      <c r="U36" s="1577">
        <f t="shared" si="13"/>
        <v>100</v>
      </c>
      <c r="V36" s="1576" t="s">
        <v>11</v>
      </c>
      <c r="W36" s="1577">
        <f t="shared" si="14"/>
        <v>100</v>
      </c>
      <c r="X36" s="1570"/>
      <c r="Y36" s="3397"/>
      <c r="Z36" s="1578" t="str">
        <f t="shared" si="15"/>
        <v>公共部分装修</v>
      </c>
      <c r="AA36" s="1579">
        <f t="shared" si="3"/>
        <v>1</v>
      </c>
      <c r="AB36" s="1579">
        <f t="shared" si="4"/>
        <v>1</v>
      </c>
      <c r="AC36" s="1579">
        <f t="shared" si="5"/>
        <v>1</v>
      </c>
    </row>
    <row r="37" spans="1:29" s="1222" customFormat="1" ht="15">
      <c r="A37" s="602"/>
      <c r="B37" s="529" t="s">
        <v>731</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9"/>
      <c r="M37" s="2140"/>
      <c r="N37" s="2140"/>
      <c r="O37" s="2141"/>
      <c r="P37" s="3397"/>
      <c r="Q37" s="1153" t="str">
        <f t="shared" si="11"/>
        <v>成新度</v>
      </c>
      <c r="R37" s="1571" t="s">
        <v>11</v>
      </c>
      <c r="S37" s="1572" t="e">
        <f t="shared" si="12"/>
        <v>#N/A</v>
      </c>
      <c r="T37" s="1571" t="s">
        <v>11</v>
      </c>
      <c r="U37" s="1572" t="e">
        <f t="shared" si="13"/>
        <v>#N/A</v>
      </c>
      <c r="V37" s="1571" t="s">
        <v>11</v>
      </c>
      <c r="W37" s="1572" t="e">
        <f t="shared" si="14"/>
        <v>#N/A</v>
      </c>
      <c r="X37" s="1573"/>
      <c r="Y37" s="3397"/>
      <c r="Z37" s="1152" t="str">
        <f t="shared" si="15"/>
        <v>成新度</v>
      </c>
      <c r="AA37" s="1574" t="e">
        <f t="shared" si="3"/>
        <v>#N/A</v>
      </c>
      <c r="AB37" s="1574" t="e">
        <f t="shared" si="4"/>
        <v>#N/A</v>
      </c>
      <c r="AC37" s="1574" t="e">
        <f t="shared" si="5"/>
        <v>#N/A</v>
      </c>
    </row>
    <row r="38" spans="1:29" ht="15">
      <c r="A38" s="596"/>
      <c r="B38" s="529" t="s">
        <v>732</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6"/>
      <c r="M38" s="2138"/>
      <c r="N38" s="2138"/>
      <c r="O38" s="2145"/>
      <c r="P38" s="3397" t="s">
        <v>551</v>
      </c>
      <c r="Q38" s="1575" t="str">
        <f t="shared" si="11"/>
        <v>物业管理</v>
      </c>
      <c r="R38" s="1576" t="s">
        <v>11</v>
      </c>
      <c r="S38" s="1577">
        <f t="shared" si="12"/>
        <v>100</v>
      </c>
      <c r="T38" s="1576" t="s">
        <v>11</v>
      </c>
      <c r="U38" s="1577">
        <f t="shared" si="13"/>
        <v>100</v>
      </c>
      <c r="V38" s="1576" t="s">
        <v>11</v>
      </c>
      <c r="W38" s="1577">
        <f t="shared" si="14"/>
        <v>100</v>
      </c>
      <c r="X38" s="1570"/>
      <c r="Y38" s="3397" t="s">
        <v>551</v>
      </c>
      <c r="Z38" s="1578" t="str">
        <f t="shared" si="15"/>
        <v>物业管理</v>
      </c>
      <c r="AA38" s="1579">
        <f t="shared" si="3"/>
        <v>1</v>
      </c>
      <c r="AB38" s="1579">
        <f t="shared" si="4"/>
        <v>1</v>
      </c>
      <c r="AC38" s="1579">
        <f t="shared" si="5"/>
        <v>1</v>
      </c>
    </row>
    <row r="39" spans="1:29" ht="15">
      <c r="A39" s="596"/>
      <c r="B39" s="1899" t="s">
        <v>2568</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6"/>
      <c r="M39" s="2138"/>
      <c r="N39" s="2138"/>
      <c r="O39" s="2145"/>
      <c r="P39" s="3397"/>
      <c r="Q39" s="1575" t="str">
        <f t="shared" si="11"/>
        <v>市政基础设施</v>
      </c>
      <c r="R39" s="1576" t="s">
        <v>11</v>
      </c>
      <c r="S39" s="1577">
        <f t="shared" si="12"/>
        <v>100</v>
      </c>
      <c r="T39" s="1576" t="s">
        <v>11</v>
      </c>
      <c r="U39" s="1577">
        <f t="shared" si="13"/>
        <v>100</v>
      </c>
      <c r="V39" s="1576" t="s">
        <v>11</v>
      </c>
      <c r="W39" s="1577">
        <f t="shared" si="14"/>
        <v>100</v>
      </c>
      <c r="X39" s="1570"/>
      <c r="Y39" s="3397"/>
      <c r="Z39" s="1578" t="str">
        <f t="shared" si="15"/>
        <v>市政基础设施</v>
      </c>
      <c r="AA39" s="1579">
        <f t="shared" si="3"/>
        <v>1</v>
      </c>
      <c r="AB39" s="1579">
        <f t="shared" si="4"/>
        <v>1</v>
      </c>
      <c r="AC39" s="1579">
        <f t="shared" si="5"/>
        <v>1</v>
      </c>
    </row>
    <row r="40" spans="1:29" ht="15">
      <c r="A40" s="596"/>
      <c r="B40" s="529" t="s">
        <v>733</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6"/>
      <c r="M40" s="2138"/>
      <c r="N40" s="2138"/>
      <c r="O40" s="2145"/>
      <c r="P40" s="3397"/>
      <c r="Q40" s="1575" t="str">
        <f t="shared" si="11"/>
        <v>房型</v>
      </c>
      <c r="R40" s="1576" t="s">
        <v>11</v>
      </c>
      <c r="S40" s="1577">
        <f t="shared" si="12"/>
        <v>100</v>
      </c>
      <c r="T40" s="1576" t="s">
        <v>11</v>
      </c>
      <c r="U40" s="1577">
        <f t="shared" si="13"/>
        <v>100</v>
      </c>
      <c r="V40" s="1576" t="s">
        <v>11</v>
      </c>
      <c r="W40" s="1577">
        <f t="shared" si="14"/>
        <v>100</v>
      </c>
      <c r="X40" s="1570"/>
      <c r="Y40" s="3397"/>
      <c r="Z40" s="1578" t="str">
        <f t="shared" si="15"/>
        <v>房型</v>
      </c>
      <c r="AA40" s="1579">
        <f t="shared" si="3"/>
        <v>1</v>
      </c>
      <c r="AB40" s="1579">
        <f t="shared" si="4"/>
        <v>1</v>
      </c>
      <c r="AC40" s="1579">
        <f t="shared" si="5"/>
        <v>1</v>
      </c>
    </row>
    <row r="41" spans="1:29" s="1341" customFormat="1" ht="28.5">
      <c r="A41" s="605"/>
      <c r="B41" s="529" t="s">
        <v>734</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4"/>
      <c r="M41" s="2175"/>
      <c r="N41" s="2175"/>
      <c r="O41" s="2147"/>
      <c r="P41" s="3397"/>
      <c r="Q41" s="1608" t="str">
        <f t="shared" si="11"/>
        <v>单套/主力户型建筑面积</v>
      </c>
      <c r="R41" s="1580" t="s">
        <v>11</v>
      </c>
      <c r="S41" s="1581">
        <f t="shared" si="12"/>
        <v>100</v>
      </c>
      <c r="T41" s="1580" t="s">
        <v>11</v>
      </c>
      <c r="U41" s="1581">
        <f t="shared" si="13"/>
        <v>100</v>
      </c>
      <c r="V41" s="1580" t="s">
        <v>11</v>
      </c>
      <c r="W41" s="1581">
        <f t="shared" si="14"/>
        <v>100</v>
      </c>
      <c r="X41" s="1582"/>
      <c r="Y41" s="3397"/>
      <c r="Z41" s="1583" t="str">
        <f t="shared" si="15"/>
        <v>单套/主力户型建筑面积</v>
      </c>
      <c r="AA41" s="1579">
        <f t="shared" si="3"/>
        <v>1</v>
      </c>
      <c r="AB41" s="1579">
        <f t="shared" si="4"/>
        <v>1</v>
      </c>
      <c r="AC41" s="1579">
        <f t="shared" si="5"/>
        <v>1</v>
      </c>
    </row>
    <row r="42" spans="1:29" ht="15">
      <c r="A42" s="596"/>
      <c r="B42" s="529" t="s">
        <v>735</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6"/>
      <c r="M42" s="2138"/>
      <c r="N42" s="2138"/>
      <c r="O42" s="2145"/>
      <c r="P42" s="3397"/>
      <c r="Q42" s="1575" t="str">
        <f t="shared" si="11"/>
        <v>内部装修</v>
      </c>
      <c r="R42" s="1576" t="s">
        <v>11</v>
      </c>
      <c r="S42" s="1577">
        <f t="shared" si="12"/>
        <v>100</v>
      </c>
      <c r="T42" s="1576" t="s">
        <v>11</v>
      </c>
      <c r="U42" s="1577">
        <f t="shared" si="13"/>
        <v>100</v>
      </c>
      <c r="V42" s="1576" t="s">
        <v>11</v>
      </c>
      <c r="W42" s="1577">
        <f t="shared" si="14"/>
        <v>100</v>
      </c>
      <c r="X42" s="1570"/>
      <c r="Y42" s="3397"/>
      <c r="Z42" s="1578" t="str">
        <f t="shared" si="15"/>
        <v>内部装修</v>
      </c>
      <c r="AA42" s="1579">
        <f t="shared" si="3"/>
        <v>1</v>
      </c>
      <c r="AB42" s="1579">
        <f t="shared" si="4"/>
        <v>1</v>
      </c>
      <c r="AC42" s="1579">
        <f t="shared" si="5"/>
        <v>1</v>
      </c>
    </row>
    <row r="43" spans="1:29" ht="27">
      <c r="A43" s="596"/>
      <c r="B43" s="529" t="s">
        <v>736</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6"/>
      <c r="M43" s="2138"/>
      <c r="N43" s="2138"/>
      <c r="O43" s="2145"/>
      <c r="P43" s="3397"/>
      <c r="Q43" s="1575" t="str">
        <f t="shared" si="11"/>
        <v>内部装修维护情况</v>
      </c>
      <c r="R43" s="1576" t="s">
        <v>11</v>
      </c>
      <c r="S43" s="1577">
        <f t="shared" si="12"/>
        <v>100</v>
      </c>
      <c r="T43" s="1576" t="s">
        <v>11</v>
      </c>
      <c r="U43" s="1577">
        <f t="shared" si="13"/>
        <v>100</v>
      </c>
      <c r="V43" s="1576" t="s">
        <v>11</v>
      </c>
      <c r="W43" s="1577">
        <f t="shared" si="14"/>
        <v>100</v>
      </c>
      <c r="X43" s="1570"/>
      <c r="Y43" s="3397"/>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9"/>
      <c r="M44" s="2140"/>
      <c r="N44" s="2140"/>
      <c r="O44" s="2141"/>
      <c r="P44" s="3397"/>
      <c r="Q44" s="1153">
        <f t="shared" si="11"/>
        <v>111</v>
      </c>
      <c r="R44" s="1571" t="s">
        <v>11</v>
      </c>
      <c r="S44" s="1572">
        <f t="shared" si="12"/>
        <v>100</v>
      </c>
      <c r="T44" s="1571" t="s">
        <v>11</v>
      </c>
      <c r="U44" s="1572">
        <f t="shared" si="13"/>
        <v>100</v>
      </c>
      <c r="V44" s="1571" t="s">
        <v>11</v>
      </c>
      <c r="W44" s="1572">
        <f t="shared" si="14"/>
        <v>100</v>
      </c>
      <c r="X44" s="1573"/>
      <c r="Y44" s="3397"/>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6"/>
      <c r="M45" s="2138"/>
      <c r="N45" s="2138"/>
      <c r="O45" s="2145"/>
      <c r="P45" s="3397"/>
      <c r="Q45" s="1575">
        <f t="shared" si="11"/>
        <v>111</v>
      </c>
      <c r="R45" s="1576" t="s">
        <v>11</v>
      </c>
      <c r="S45" s="1577">
        <f t="shared" si="12"/>
        <v>100</v>
      </c>
      <c r="T45" s="1576" t="s">
        <v>11</v>
      </c>
      <c r="U45" s="1577">
        <f t="shared" si="13"/>
        <v>100</v>
      </c>
      <c r="V45" s="1576" t="s">
        <v>11</v>
      </c>
      <c r="W45" s="1577">
        <f t="shared" si="14"/>
        <v>100</v>
      </c>
      <c r="X45" s="1570"/>
      <c r="Y45" s="3397"/>
      <c r="Z45" s="1578">
        <f t="shared" si="15"/>
        <v>111</v>
      </c>
      <c r="AA45" s="1579">
        <f t="shared" si="3"/>
        <v>1</v>
      </c>
      <c r="AB45" s="1579">
        <f t="shared" si="4"/>
        <v>1</v>
      </c>
      <c r="AC45" s="1579">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6"/>
      <c r="M46" s="2138"/>
      <c r="N46" s="2138"/>
      <c r="O46" s="2145"/>
      <c r="P46" s="3474"/>
      <c r="Q46" s="1575">
        <f t="shared" si="11"/>
        <v>111</v>
      </c>
      <c r="R46" s="1576" t="s">
        <v>10</v>
      </c>
      <c r="S46" s="1577">
        <f t="shared" si="12"/>
        <v>100</v>
      </c>
      <c r="T46" s="1576" t="s">
        <v>10</v>
      </c>
      <c r="U46" s="1577">
        <f t="shared" si="13"/>
        <v>100</v>
      </c>
      <c r="V46" s="1576" t="s">
        <v>10</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9</v>
      </c>
      <c r="D47" s="2656"/>
      <c r="E47" s="2657"/>
      <c r="F47" s="2658"/>
      <c r="G47" s="2659"/>
      <c r="H47" s="2660"/>
      <c r="I47" s="2657"/>
      <c r="J47" s="2660"/>
      <c r="K47" s="1609"/>
      <c r="L47" s="2148"/>
      <c r="M47" s="2149"/>
      <c r="N47" s="2138"/>
      <c r="O47" s="2149"/>
      <c r="P47" s="3360" t="str">
        <f>A47</f>
        <v>成交单价（元/平方米）</v>
      </c>
      <c r="Q47" s="3360"/>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0"/>
      <c r="L48" s="2148"/>
      <c r="M48" s="2149"/>
      <c r="N48" s="2149"/>
      <c r="O48" s="2149"/>
      <c r="P48" s="3360" t="str">
        <f>A48</f>
        <v>比较价格（元/平方米）</v>
      </c>
      <c r="Q48" s="3360"/>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1"/>
      <c r="L49" s="2148"/>
      <c r="M49" s="2149"/>
      <c r="N49" s="2149"/>
      <c r="O49" s="2149"/>
      <c r="P49" s="3357" t="str">
        <f>A49</f>
        <v>估价对象XX用房的比较价格（楼面单价，元/平方米）</v>
      </c>
      <c r="Q49" s="3358"/>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4"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2"/>
      <c r="N59" s="652"/>
      <c r="O59" s="652"/>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99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94"/>
      <c r="E73" s="694"/>
      <c r="F73" s="694"/>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1900" t="s">
        <v>2258</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
        <v>747</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694"/>
      <c r="D91" s="694"/>
      <c r="E91" s="694"/>
      <c r="F91" s="694"/>
      <c r="G91" s="694"/>
      <c r="H91" s="695"/>
      <c r="I91" s="695"/>
      <c r="J91" s="695"/>
      <c r="K91" s="695"/>
      <c r="L91" s="695"/>
      <c r="M91" s="696"/>
      <c r="N91" s="2171"/>
      <c r="O91" s="2171"/>
      <c r="P91" s="2172"/>
      <c r="Q91" s="2173"/>
      <c r="R91" s="2174"/>
      <c r="S91" s="2174"/>
      <c r="T91" s="2174"/>
      <c r="U91" s="2174"/>
      <c r="V91" s="2174"/>
      <c r="W91" s="2174"/>
      <c r="X91" s="2174"/>
      <c r="Y91" s="2174"/>
      <c r="Z91" s="2174"/>
      <c r="AA91" s="2174"/>
      <c r="AB91" s="2174"/>
      <c r="AC91" s="2174"/>
    </row>
    <row r="92" spans="1:29" ht="15.75" thickTop="1">
      <c r="A92" s="671"/>
      <c r="B92" s="675">
        <f>B28</f>
        <v>111</v>
      </c>
      <c r="C92" s="690"/>
      <c r="D92" s="690"/>
      <c r="E92" s="690"/>
      <c r="F92" s="690"/>
      <c r="G92" s="720"/>
      <c r="H92" s="720"/>
      <c r="I92" s="720"/>
      <c r="J92" s="720"/>
      <c r="K92" s="721"/>
      <c r="L92" s="722"/>
      <c r="M92" s="72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94"/>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94"/>
      <c r="E95" s="694"/>
      <c r="F95" s="694"/>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702"/>
      <c r="D97" s="702"/>
      <c r="E97" s="702"/>
      <c r="F97" s="702"/>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724"/>
      <c r="D98" s="724"/>
      <c r="E98" s="724"/>
      <c r="F98" s="724"/>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28"/>
      <c r="D99" s="728"/>
      <c r="E99" s="728"/>
      <c r="F99" s="728"/>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748</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3"/>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751</v>
      </c>
      <c r="C107" s="720"/>
      <c r="D107" s="720"/>
      <c r="E107" s="72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752</v>
      </c>
      <c r="C109" s="690"/>
      <c r="D109" s="690"/>
      <c r="E109" s="690"/>
      <c r="F109" s="720"/>
      <c r="G109" s="720"/>
      <c r="H109" s="72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0"/>
      <c r="O110" s="2170"/>
      <c r="P110" s="2169"/>
      <c r="Q110" s="2162"/>
      <c r="R110" s="2149"/>
      <c r="S110" s="2149"/>
      <c r="T110" s="2149"/>
      <c r="U110" s="2149"/>
      <c r="V110" s="2149"/>
      <c r="W110" s="2149"/>
      <c r="X110" s="2149"/>
      <c r="Y110" s="2149"/>
      <c r="Z110" s="2149"/>
      <c r="AA110" s="2149"/>
      <c r="AB110" s="2149"/>
      <c r="AC110" s="2149"/>
    </row>
    <row r="111" spans="1:29" s="1341" customFormat="1" ht="15" thickTop="1">
      <c r="A111" s="730"/>
      <c r="B111" s="675" t="s">
        <v>753</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1"/>
      <c r="O111" s="2171"/>
      <c r="P111" s="2172"/>
      <c r="Q111" s="2173"/>
      <c r="R111" s="2174"/>
      <c r="S111" s="2174"/>
      <c r="T111" s="2174"/>
      <c r="U111" s="2174"/>
      <c r="V111" s="2174"/>
      <c r="W111" s="2174"/>
      <c r="X111" s="2174"/>
      <c r="Y111" s="2174"/>
      <c r="Z111" s="2174"/>
      <c r="AA111" s="2174"/>
      <c r="AB111" s="2174"/>
      <c r="AC111" s="2174"/>
    </row>
    <row r="112" spans="1:29" s="1341" customFormat="1">
      <c r="A112" s="730"/>
      <c r="B112" s="683"/>
      <c r="C112" s="896">
        <v>0.5</v>
      </c>
      <c r="D112" s="896">
        <v>0.6</v>
      </c>
      <c r="E112" s="896">
        <v>0.7</v>
      </c>
      <c r="F112" s="896">
        <v>0.8</v>
      </c>
      <c r="G112" s="896">
        <v>0.9</v>
      </c>
      <c r="H112" s="896">
        <v>1.0001</v>
      </c>
      <c r="I112" s="896"/>
      <c r="J112" s="897"/>
      <c r="K112" s="897"/>
      <c r="L112" s="898"/>
      <c r="M112" s="899"/>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754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1900" t="s">
        <v>2560</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755</v>
      </c>
      <c r="C118" s="720"/>
      <c r="D118" s="720"/>
      <c r="E118" s="720"/>
      <c r="F118" s="720"/>
      <c r="G118" s="72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0"/>
      <c r="O119" s="2170"/>
      <c r="P119" s="2169"/>
      <c r="Q119" s="2162"/>
      <c r="R119" s="2149"/>
      <c r="S119" s="2149"/>
      <c r="T119" s="2149"/>
      <c r="U119" s="2149"/>
      <c r="V119" s="2149"/>
      <c r="W119" s="2149"/>
      <c r="X119" s="2149"/>
      <c r="Y119" s="2149"/>
      <c r="Z119" s="2149"/>
      <c r="AA119" s="2149"/>
      <c r="AB119" s="2149"/>
      <c r="AC119" s="2149"/>
    </row>
    <row r="120" spans="1:29" s="1341" customFormat="1" ht="28.5" thickTop="1">
      <c r="A120" s="730"/>
      <c r="B120" s="675" t="s">
        <v>734</v>
      </c>
      <c r="C120" s="690"/>
      <c r="D120" s="690"/>
      <c r="E120" s="690"/>
      <c r="F120" s="690"/>
      <c r="G120" s="690"/>
      <c r="H120" s="690"/>
      <c r="I120" s="690"/>
      <c r="J120" s="690"/>
      <c r="K120" s="690"/>
      <c r="L120" s="892"/>
      <c r="M120" s="8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694"/>
      <c r="D121" s="673"/>
      <c r="E121" s="673"/>
      <c r="F121" s="673"/>
      <c r="G121" s="673"/>
      <c r="H121" s="673"/>
      <c r="I121" s="673"/>
      <c r="J121" s="673"/>
      <c r="K121" s="673"/>
      <c r="L121" s="673"/>
      <c r="M121" s="673"/>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94"/>
      <c r="E129" s="694"/>
      <c r="F129" s="694"/>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8">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8">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8">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758</v>
      </c>
      <c r="C1" s="506" t="s">
        <v>721</v>
      </c>
      <c r="D1" s="2374"/>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520</v>
      </c>
      <c r="B3" s="512" t="e">
        <f>C49</f>
        <v>#DIV/0!</v>
      </c>
      <c r="C3" s="854" t="s">
        <v>723</v>
      </c>
      <c r="D3" s="853">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0"/>
    </row>
    <row r="4" spans="1:29" ht="15">
      <c r="A4" s="514" t="s">
        <v>522</v>
      </c>
      <c r="B4" s="515"/>
      <c r="C4" s="3366" t="s">
        <v>523</v>
      </c>
      <c r="D4" s="3367"/>
      <c r="E4" s="3400" t="s">
        <v>524</v>
      </c>
      <c r="F4" s="3401"/>
      <c r="G4" s="3366" t="s">
        <v>525</v>
      </c>
      <c r="H4" s="3367"/>
      <c r="I4" s="3366" t="s">
        <v>526</v>
      </c>
      <c r="J4" s="3367"/>
      <c r="K4" s="516" t="s">
        <v>527</v>
      </c>
      <c r="L4" s="2137"/>
      <c r="M4" s="2138"/>
      <c r="N4" s="2138"/>
      <c r="O4" s="2138"/>
      <c r="P4" s="3368" t="s">
        <v>528</v>
      </c>
      <c r="Q4" s="3369"/>
      <c r="R4" s="3374" t="s">
        <v>524</v>
      </c>
      <c r="S4" s="3375"/>
      <c r="T4" s="3374" t="s">
        <v>525</v>
      </c>
      <c r="U4" s="3375"/>
      <c r="V4" s="3361" t="s">
        <v>526</v>
      </c>
      <c r="W4" s="3361"/>
      <c r="X4" s="1570"/>
      <c r="Y4" s="3374" t="s">
        <v>528</v>
      </c>
      <c r="Z4" s="3375"/>
      <c r="AA4" s="3363" t="s">
        <v>524</v>
      </c>
      <c r="AB4" s="3361" t="s">
        <v>525</v>
      </c>
      <c r="AC4" s="3363" t="s">
        <v>526</v>
      </c>
    </row>
    <row r="5" spans="1:29" ht="15">
      <c r="A5" s="517"/>
      <c r="B5" s="518"/>
      <c r="C5" s="3382" t="s">
        <v>2936</v>
      </c>
      <c r="D5" s="3383"/>
      <c r="E5" s="3402" t="s">
        <v>2937</v>
      </c>
      <c r="F5" s="340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1"/>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1"/>
      <c r="AC6" s="3365"/>
    </row>
    <row r="7" spans="1:29" s="1222" customFormat="1" ht="15.75" thickBot="1">
      <c r="A7" s="2942"/>
      <c r="B7" s="2949" t="s">
        <v>530</v>
      </c>
      <c r="C7" s="521">
        <f>'数据-取费表'!B2</f>
        <v>43032</v>
      </c>
      <c r="D7" s="522">
        <v>100</v>
      </c>
      <c r="E7" s="523"/>
      <c r="F7" s="524">
        <f>SUMIF(58:58,YEAR(E7)&amp;"-"&amp;MONTH(E7),59:59)</f>
        <v>0</v>
      </c>
      <c r="G7" s="523"/>
      <c r="H7" s="522">
        <f>SUMIF(58:58,YEAR(G7)&amp;"-"&amp;MONTH(G7),59:59)</f>
        <v>0</v>
      </c>
      <c r="I7" s="523"/>
      <c r="J7" s="522">
        <f>SUMIF(58:58,YEAR(I7)&amp;"-"&amp;MONTH(I7),59:59)</f>
        <v>0</v>
      </c>
      <c r="K7" s="526"/>
      <c r="L7" s="2139"/>
      <c r="M7" s="2140"/>
      <c r="N7" s="2140"/>
      <c r="O7" s="2140"/>
      <c r="P7" s="3391" t="s">
        <v>531</v>
      </c>
      <c r="Q7" s="3393"/>
      <c r="R7" s="1571" t="s">
        <v>8</v>
      </c>
      <c r="S7" s="1572">
        <f t="shared" ref="S7:S15" si="0">F7</f>
        <v>0</v>
      </c>
      <c r="T7" s="1571" t="s">
        <v>8</v>
      </c>
      <c r="U7" s="1572">
        <f t="shared" ref="U7:U15" si="1">H7</f>
        <v>0</v>
      </c>
      <c r="V7" s="1571" t="s">
        <v>8</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SUMIF(61:61,E8,62:62)-SUMIF(61:61,C8,62:62)+100</f>
        <v>0</v>
      </c>
      <c r="G8" s="527"/>
      <c r="H8" s="522">
        <f>SUMIF(61:61,G8,62:62)-SUMIF(61:61,C8,62:62)+100</f>
        <v>0</v>
      </c>
      <c r="I8" s="527"/>
      <c r="J8" s="522">
        <f>SUMIF(61:61,I8,62:62)-SUMIF(61:61,C8,62:62)+100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2"/>
      <c r="F9" s="253">
        <f>SUMIF(63:63,E9,64:64)-SUMIF(63:63,C9,64:64)+100</f>
        <v>100</v>
      </c>
      <c r="G9" s="860"/>
      <c r="H9" s="253">
        <f>SUMIF(63:63,G9,64:64)-SUMIF(63:63,C9,64:64)+100</f>
        <v>100</v>
      </c>
      <c r="I9" s="860"/>
      <c r="J9" s="253">
        <f>SUMIF(63:63,I9,64:64)-SUMIF(63:63,C9,64:64)+100</f>
        <v>100</v>
      </c>
      <c r="K9" s="526"/>
      <c r="L9" s="2139"/>
      <c r="M9" s="2140"/>
      <c r="N9" s="2140"/>
      <c r="O9" s="2141"/>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SUMIF(65:65,E10,66:66)-SUMIF(65:65,C10,66:66)+100</f>
        <v>100</v>
      </c>
      <c r="G10" s="864"/>
      <c r="H10" s="254">
        <f>SUMIF(65:65,G10,66:66)-SUMIF(65:65,C10,66:66)+100</f>
        <v>100</v>
      </c>
      <c r="I10" s="863"/>
      <c r="J10" s="254">
        <f>SUMIF(65:65,I10,66:66)-SUMIF(65:65,C10,66:66)+100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4"/>
      <c r="M11" s="2138"/>
      <c r="N11" s="2138"/>
      <c r="O11" s="2145"/>
      <c r="P11" s="3360"/>
      <c r="Q11" s="1153" t="str">
        <f t="shared" si="6"/>
        <v>容积率</v>
      </c>
      <c r="R11" s="1571" t="s">
        <v>8</v>
      </c>
      <c r="S11" s="1572" t="e">
        <f t="shared" si="0"/>
        <v>#N/A</v>
      </c>
      <c r="T11" s="1571" t="s">
        <v>8</v>
      </c>
      <c r="U11" s="1572" t="e">
        <f t="shared" si="1"/>
        <v>#N/A</v>
      </c>
      <c r="V11" s="1571" t="s">
        <v>8</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SUMIF(70:70,E12,71:71)-SUMIF(70:70,C12,71:71)+100</f>
        <v>100</v>
      </c>
      <c r="G12" s="914"/>
      <c r="H12" s="254">
        <f>SUMIF(70:70,G12,71:71)-SUMIF(70:70,C12,71:71)+100</f>
        <v>100</v>
      </c>
      <c r="I12" s="541"/>
      <c r="J12" s="254">
        <f>SUMIF(70:70,I12,71:71)-SUMIF(70:70,C12,71:71)+100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41"/>
      <c r="F13" s="254">
        <f>SUMIF(72:72,E13,73:73)-SUMIF(72:72,C13,73:73)+100</f>
        <v>100</v>
      </c>
      <c r="G13" s="914"/>
      <c r="H13" s="542">
        <f>SUMIF(72:72,G13,73:73)-SUMIF(72:72,C13,73:73)+100</f>
        <v>100</v>
      </c>
      <c r="I13" s="541"/>
      <c r="J13" s="542">
        <f>SUMIF(72:72,I13,73:73)-SUMIF(72:72,C13,73:73)+100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547"/>
      <c r="F14" s="548">
        <f>SUMIF(74:74,E14,75:75)-SUMIF(74:74,C14,75:75)+100</f>
        <v>100</v>
      </c>
      <c r="G14" s="914"/>
      <c r="H14" s="548">
        <f>SUMIF(74:74,G14,75:75)-SUMIF(74:74,C14,75:75)+100</f>
        <v>100</v>
      </c>
      <c r="I14" s="541"/>
      <c r="J14" s="548">
        <f>SUMIF(74:74,I14,75:75)-SUMIF(74:74,C14,75:75)+100</f>
        <v>100</v>
      </c>
      <c r="K14" s="583"/>
      <c r="L14" s="2146"/>
      <c r="M14" s="2138"/>
      <c r="N14" s="2138"/>
      <c r="O14" s="2145"/>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 t="shared" si="3"/>
        <v>1</v>
      </c>
      <c r="AB14" s="1574">
        <f t="shared" si="4"/>
        <v>1</v>
      </c>
      <c r="AC14" s="1574">
        <f t="shared" si="5"/>
        <v>1</v>
      </c>
    </row>
    <row r="15" spans="1:29" ht="71.25">
      <c r="A15" s="2940" t="s">
        <v>2760</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6"/>
      <c r="M15" s="2138"/>
      <c r="N15" s="2138"/>
      <c r="O15" s="2145"/>
      <c r="P15" s="3394" t="s">
        <v>541</v>
      </c>
      <c r="Q15" s="1575" t="str">
        <f t="shared" si="6"/>
        <v>商业繁华度</v>
      </c>
      <c r="R15" s="1576" t="s">
        <v>8</v>
      </c>
      <c r="S15" s="1577">
        <f t="shared" si="0"/>
        <v>100</v>
      </c>
      <c r="T15" s="1576" t="s">
        <v>8</v>
      </c>
      <c r="U15" s="1577">
        <f t="shared" si="1"/>
        <v>100</v>
      </c>
      <c r="V15" s="1576" t="s">
        <v>8</v>
      </c>
      <c r="W15" s="1577">
        <f t="shared" si="2"/>
        <v>100</v>
      </c>
      <c r="X15" s="1570"/>
      <c r="Y15" s="3394"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95"/>
      <c r="Q16" s="1575"/>
      <c r="R16" s="1576"/>
      <c r="S16" s="1577"/>
      <c r="T16" s="1576"/>
      <c r="U16" s="1577"/>
      <c r="V16" s="1576"/>
      <c r="W16" s="1577"/>
      <c r="X16" s="1570"/>
      <c r="Y16" s="3395"/>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6"/>
      <c r="M17" s="2138"/>
      <c r="N17" s="2138"/>
      <c r="O17" s="2145"/>
      <c r="P17" s="3395"/>
      <c r="Q17" s="1575" t="str">
        <f>B17</f>
        <v>交通便捷度</v>
      </c>
      <c r="R17" s="1576" t="s">
        <v>8</v>
      </c>
      <c r="S17" s="1577">
        <f>F17</f>
        <v>100</v>
      </c>
      <c r="T17" s="1576" t="s">
        <v>8</v>
      </c>
      <c r="U17" s="1577">
        <f>H17</f>
        <v>100</v>
      </c>
      <c r="V17" s="1576" t="s">
        <v>8</v>
      </c>
      <c r="W17" s="1577">
        <f>J17</f>
        <v>100</v>
      </c>
      <c r="X17" s="1570"/>
      <c r="Y17" s="3395"/>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95"/>
      <c r="Q18" s="1575"/>
      <c r="R18" s="1576"/>
      <c r="S18" s="1577"/>
      <c r="T18" s="1576"/>
      <c r="U18" s="1577"/>
      <c r="V18" s="1576"/>
      <c r="W18" s="1577"/>
      <c r="X18" s="1570"/>
      <c r="Y18" s="3395"/>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6"/>
      <c r="M19" s="2138"/>
      <c r="N19" s="2138"/>
      <c r="O19" s="2145"/>
      <c r="P19" s="3395"/>
      <c r="Q19" s="1575" t="str">
        <f>B19</f>
        <v>公共配套设施</v>
      </c>
      <c r="R19" s="1576" t="s">
        <v>8</v>
      </c>
      <c r="S19" s="1577">
        <f>F19</f>
        <v>100</v>
      </c>
      <c r="T19" s="1576" t="s">
        <v>8</v>
      </c>
      <c r="U19" s="1577">
        <f>H19</f>
        <v>100</v>
      </c>
      <c r="V19" s="1576" t="s">
        <v>8</v>
      </c>
      <c r="W19" s="1577">
        <f>J19</f>
        <v>100</v>
      </c>
      <c r="X19" s="1570"/>
      <c r="Y19" s="3395"/>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1"/>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6"/>
      <c r="M21" s="2138"/>
      <c r="N21" s="2138"/>
      <c r="O21" s="2145"/>
      <c r="P21" s="3395"/>
      <c r="Q21" s="2607" t="str">
        <f>B21</f>
        <v>基础设施水平</v>
      </c>
      <c r="R21" s="1576" t="s">
        <v>8</v>
      </c>
      <c r="S21" s="1577">
        <f>F21</f>
        <v>100</v>
      </c>
      <c r="T21" s="1576" t="s">
        <v>8</v>
      </c>
      <c r="U21" s="1577">
        <f>H21</f>
        <v>100</v>
      </c>
      <c r="V21" s="1576" t="s">
        <v>8</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30"/>
      <c r="L22" s="2146"/>
      <c r="M22" s="2138"/>
      <c r="N22" s="2138"/>
      <c r="O22" s="2145"/>
      <c r="P22" s="3395"/>
      <c r="Q22" s="2607"/>
      <c r="R22" s="1576"/>
      <c r="S22" s="1577"/>
      <c r="T22" s="1576"/>
      <c r="U22" s="1577"/>
      <c r="V22" s="1576"/>
      <c r="W22" s="1577"/>
      <c r="X22" s="2609"/>
      <c r="Y22" s="3395"/>
      <c r="Z22" s="2608"/>
      <c r="AA22" s="1579">
        <v>1</v>
      </c>
      <c r="AB22" s="1579">
        <v>1</v>
      </c>
      <c r="AC22" s="1579">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6"/>
      <c r="M23" s="2138"/>
      <c r="N23" s="2138"/>
      <c r="O23" s="2145"/>
      <c r="P23" s="3395"/>
      <c r="Q23" s="1575" t="str">
        <f>B23</f>
        <v>自然及人文环境</v>
      </c>
      <c r="R23" s="1576" t="s">
        <v>8</v>
      </c>
      <c r="S23" s="1577">
        <f>F23</f>
        <v>100</v>
      </c>
      <c r="T23" s="1576" t="s">
        <v>8</v>
      </c>
      <c r="U23" s="1577">
        <f>H23</f>
        <v>100</v>
      </c>
      <c r="V23" s="1576" t="s">
        <v>8</v>
      </c>
      <c r="W23" s="1577">
        <f>J23</f>
        <v>100</v>
      </c>
      <c r="X23" s="1570"/>
      <c r="Y23" s="3395"/>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1"/>
      <c r="L24" s="2146"/>
      <c r="M24" s="2138"/>
      <c r="N24" s="2138"/>
      <c r="O24" s="2145"/>
      <c r="P24" s="3395"/>
      <c r="Q24" s="1575"/>
      <c r="R24" s="1576"/>
      <c r="S24" s="1577"/>
      <c r="T24" s="1576"/>
      <c r="U24" s="1577"/>
      <c r="V24" s="1576"/>
      <c r="W24" s="1577"/>
      <c r="X24" s="1570"/>
      <c r="Y24" s="3395"/>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6"/>
      <c r="M25" s="2138"/>
      <c r="N25" s="2138"/>
      <c r="O25" s="2145"/>
      <c r="P25" s="3395"/>
      <c r="Q25" s="1575" t="str">
        <f t="shared" ref="Q25:Q46" si="11">B25</f>
        <v>临街状况</v>
      </c>
      <c r="R25" s="1576" t="s">
        <v>8</v>
      </c>
      <c r="S25" s="1577">
        <f>F25</f>
        <v>100</v>
      </c>
      <c r="T25" s="1576" t="s">
        <v>8</v>
      </c>
      <c r="U25" s="1577">
        <f>H25</f>
        <v>100</v>
      </c>
      <c r="V25" s="1576" t="s">
        <v>8</v>
      </c>
      <c r="W25" s="1577">
        <f>J25</f>
        <v>100</v>
      </c>
      <c r="X25" s="1570"/>
      <c r="Y25" s="3395"/>
      <c r="Z25" s="1578" t="str">
        <f>Q25</f>
        <v>临街状况</v>
      </c>
      <c r="AA25" s="1579">
        <f t="shared" si="3"/>
        <v>1</v>
      </c>
      <c r="AB25" s="1579">
        <f t="shared" si="4"/>
        <v>1</v>
      </c>
      <c r="AC25" s="1579">
        <f t="shared" si="5"/>
        <v>1</v>
      </c>
    </row>
    <row r="26" spans="1:29" ht="15">
      <c r="A26" s="534"/>
      <c r="B26" s="879" t="s">
        <v>759</v>
      </c>
      <c r="C26" s="541"/>
      <c r="D26" s="542">
        <v>100</v>
      </c>
      <c r="E26" s="541"/>
      <c r="F26" s="577">
        <f>SUMIF(88:88,E26,89:89)-SUMIF(88:88,C26,89:89)+100</f>
        <v>100</v>
      </c>
      <c r="G26" s="541"/>
      <c r="H26" s="542">
        <f>SUMIF(88:88,G26,89:89)-SUMIF(88:88,C26,89:89)+100</f>
        <v>100</v>
      </c>
      <c r="I26" s="541"/>
      <c r="J26" s="542">
        <f>SUMIF(88:88,I26,89:89)-SUMIF(88:88,C26,89:89)+100</f>
        <v>100</v>
      </c>
      <c r="K26" s="583"/>
      <c r="L26" s="2146"/>
      <c r="M26" s="2138"/>
      <c r="N26" s="2138"/>
      <c r="O26" s="2145"/>
      <c r="P26" s="3395"/>
      <c r="Q26" s="1575" t="str">
        <f t="shared" si="11"/>
        <v>平面位置/可视性</v>
      </c>
      <c r="R26" s="1576" t="s">
        <v>8</v>
      </c>
      <c r="S26" s="1577">
        <f>F26</f>
        <v>100</v>
      </c>
      <c r="T26" s="1576" t="s">
        <v>8</v>
      </c>
      <c r="U26" s="1577">
        <f>H26</f>
        <v>100</v>
      </c>
      <c r="V26" s="1576" t="s">
        <v>8</v>
      </c>
      <c r="W26" s="1577">
        <f>J26</f>
        <v>100</v>
      </c>
      <c r="X26" s="1570"/>
      <c r="Y26" s="3395"/>
      <c r="Z26" s="1578" t="str">
        <f>Q26</f>
        <v>平面位置/可视性</v>
      </c>
      <c r="AA26" s="1579">
        <f t="shared" si="3"/>
        <v>1</v>
      </c>
      <c r="AB26" s="1579">
        <f t="shared" si="4"/>
        <v>1</v>
      </c>
      <c r="AC26" s="1579">
        <f t="shared" si="5"/>
        <v>1</v>
      </c>
    </row>
    <row r="27" spans="1:29" s="1222" customFormat="1" ht="15">
      <c r="A27" s="538"/>
      <c r="B27" s="873" t="s">
        <v>760</v>
      </c>
      <c r="C27" s="903"/>
      <c r="D27" s="877">
        <v>100</v>
      </c>
      <c r="E27" s="903"/>
      <c r="F27" s="878">
        <f>SUMIF(90:90,E27,91:91)-SUMIF(90:90,C27,91:91)+100</f>
        <v>100</v>
      </c>
      <c r="G27" s="903"/>
      <c r="H27" s="877">
        <f>SUMIF(90:90,G27,91:91)-SUMIF(90:90,C27,91:91)+100</f>
        <v>100</v>
      </c>
      <c r="I27" s="903"/>
      <c r="J27" s="877">
        <f>SUMIF(90:90,I27,91:91)-SUMIF(90:90,C27,91:91)+100</f>
        <v>100</v>
      </c>
      <c r="K27" s="586"/>
      <c r="L27" s="2139"/>
      <c r="M27" s="2140"/>
      <c r="N27" s="2140"/>
      <c r="O27" s="2141"/>
      <c r="P27" s="3395"/>
      <c r="Q27" s="1153" t="str">
        <f t="shared" si="11"/>
        <v>人流量</v>
      </c>
      <c r="R27" s="1571" t="s">
        <v>8</v>
      </c>
      <c r="S27" s="1572">
        <f>F27</f>
        <v>100</v>
      </c>
      <c r="T27" s="1571" t="s">
        <v>8</v>
      </c>
      <c r="U27" s="1572">
        <f>H27</f>
        <v>100</v>
      </c>
      <c r="V27" s="1571" t="s">
        <v>8</v>
      </c>
      <c r="W27" s="1572">
        <f>J27</f>
        <v>100</v>
      </c>
      <c r="X27" s="1573"/>
      <c r="Y27" s="3395"/>
      <c r="Z27" s="1152" t="str">
        <f>Q27</f>
        <v>人流量</v>
      </c>
      <c r="AA27" s="1579">
        <f>D27/F27</f>
        <v>1</v>
      </c>
      <c r="AB27" s="1579">
        <f>D27/H27</f>
        <v>1</v>
      </c>
      <c r="AC27" s="1579">
        <f>D27/J27</f>
        <v>1</v>
      </c>
    </row>
    <row r="28" spans="1:29" ht="15">
      <c r="A28" s="534"/>
      <c r="B28" s="529" t="s">
        <v>762</v>
      </c>
      <c r="C28" s="585"/>
      <c r="D28" s="542">
        <v>100</v>
      </c>
      <c r="E28" s="585"/>
      <c r="F28" s="577">
        <f>SUMIF(92:92,E28,93:93)-SUMIF(92:92,C28,93:93)+100</f>
        <v>100</v>
      </c>
      <c r="G28" s="585"/>
      <c r="H28" s="542">
        <f>SUMIF(92:92,G28,93:93)-SUMIF(92:92,C28,93:93)+100</f>
        <v>100</v>
      </c>
      <c r="I28" s="585"/>
      <c r="J28" s="542">
        <f>SUMIF(92:92,I28,93:93)-SUMIF(92:92,C28,93:93)+100</f>
        <v>100</v>
      </c>
      <c r="K28" s="583"/>
      <c r="L28" s="2146"/>
      <c r="M28" s="2138"/>
      <c r="N28" s="2138"/>
      <c r="O28" s="2145"/>
      <c r="P28" s="3395"/>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95"/>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6"/>
      <c r="M29" s="2138"/>
      <c r="N29" s="2138"/>
      <c r="O29" s="2145"/>
      <c r="P29" s="3395"/>
      <c r="Q29" s="1575">
        <f t="shared" si="11"/>
        <v>111</v>
      </c>
      <c r="R29" s="1576" t="s">
        <v>8</v>
      </c>
      <c r="S29" s="1577">
        <f t="shared" si="12"/>
        <v>100</v>
      </c>
      <c r="T29" s="1576" t="s">
        <v>8</v>
      </c>
      <c r="U29" s="1577">
        <f t="shared" si="13"/>
        <v>100</v>
      </c>
      <c r="V29" s="1576" t="s">
        <v>8</v>
      </c>
      <c r="W29" s="1577">
        <f t="shared" si="14"/>
        <v>100</v>
      </c>
      <c r="X29" s="1570"/>
      <c r="Y29" s="3395"/>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6"/>
      <c r="M30" s="2138"/>
      <c r="N30" s="2138"/>
      <c r="O30" s="2145"/>
      <c r="P30" s="3395"/>
      <c r="Q30" s="1575">
        <f t="shared" si="11"/>
        <v>111</v>
      </c>
      <c r="R30" s="1576" t="s">
        <v>8</v>
      </c>
      <c r="S30" s="1577">
        <f t="shared" si="12"/>
        <v>100</v>
      </c>
      <c r="T30" s="1576" t="s">
        <v>8</v>
      </c>
      <c r="U30" s="1577">
        <f t="shared" si="13"/>
        <v>100</v>
      </c>
      <c r="V30" s="1576" t="s">
        <v>8</v>
      </c>
      <c r="W30" s="1577">
        <f t="shared" si="14"/>
        <v>100</v>
      </c>
      <c r="X30" s="1570"/>
      <c r="Y30" s="3395"/>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6"/>
      <c r="M31" s="2138"/>
      <c r="N31" s="2138"/>
      <c r="O31" s="2145"/>
      <c r="P31" s="3395"/>
      <c r="Q31" s="1575">
        <f t="shared" si="11"/>
        <v>111</v>
      </c>
      <c r="R31" s="1576" t="s">
        <v>8</v>
      </c>
      <c r="S31" s="1577">
        <f t="shared" si="12"/>
        <v>100</v>
      </c>
      <c r="T31" s="1576" t="s">
        <v>8</v>
      </c>
      <c r="U31" s="1577">
        <f t="shared" si="13"/>
        <v>100</v>
      </c>
      <c r="V31" s="1576" t="s">
        <v>8</v>
      </c>
      <c r="W31" s="1577">
        <f t="shared" si="14"/>
        <v>100</v>
      </c>
      <c r="X31" s="1570"/>
      <c r="Y31" s="3395"/>
      <c r="Z31" s="1578">
        <f t="shared" si="15"/>
        <v>111</v>
      </c>
      <c r="AA31" s="1579">
        <f t="shared" si="3"/>
        <v>1</v>
      </c>
      <c r="AB31" s="1579">
        <f t="shared" si="4"/>
        <v>1</v>
      </c>
      <c r="AC31" s="1579">
        <f t="shared" si="5"/>
        <v>1</v>
      </c>
    </row>
    <row r="32" spans="1:29" ht="15">
      <c r="A32" s="2937" t="s">
        <v>2761</v>
      </c>
      <c r="B32" s="172" t="s">
        <v>763</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6"/>
      <c r="M32" s="2138"/>
      <c r="N32" s="2138"/>
      <c r="O32" s="2145"/>
      <c r="P32" s="3396" t="s">
        <v>551</v>
      </c>
      <c r="Q32" s="1575" t="str">
        <f t="shared" si="11"/>
        <v>商业类型</v>
      </c>
      <c r="R32" s="1576" t="s">
        <v>8</v>
      </c>
      <c r="S32" s="1577">
        <f t="shared" si="12"/>
        <v>100</v>
      </c>
      <c r="T32" s="1576" t="s">
        <v>8</v>
      </c>
      <c r="U32" s="1577">
        <f t="shared" si="13"/>
        <v>100</v>
      </c>
      <c r="V32" s="1576" t="s">
        <v>8</v>
      </c>
      <c r="W32" s="1577">
        <f t="shared" si="14"/>
        <v>100</v>
      </c>
      <c r="X32" s="1570"/>
      <c r="Y32" s="3397" t="s">
        <v>551</v>
      </c>
      <c r="Z32" s="1578" t="str">
        <f t="shared" si="15"/>
        <v>商业类型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4"/>
      <c r="M33" s="2175"/>
      <c r="N33" s="2175"/>
      <c r="O33" s="2147"/>
      <c r="P33" s="3397"/>
      <c r="Q33" s="1608" t="str">
        <f t="shared" si="11"/>
        <v>项目建筑规模</v>
      </c>
      <c r="R33" s="1580" t="s">
        <v>8</v>
      </c>
      <c r="S33" s="1581" t="e">
        <f t="shared" si="12"/>
        <v>#N/A</v>
      </c>
      <c r="T33" s="1580" t="s">
        <v>8</v>
      </c>
      <c r="U33" s="1581" t="e">
        <f t="shared" si="13"/>
        <v>#N/A</v>
      </c>
      <c r="V33" s="1580" t="s">
        <v>8</v>
      </c>
      <c r="W33" s="1581" t="e">
        <f t="shared" si="14"/>
        <v>#N/A</v>
      </c>
      <c r="X33" s="1582"/>
      <c r="Y33" s="3397"/>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6"/>
      <c r="M34" s="2138"/>
      <c r="N34" s="2138"/>
      <c r="O34" s="2145"/>
      <c r="P34" s="3397"/>
      <c r="Q34" s="1575" t="str">
        <f t="shared" si="11"/>
        <v>建筑结构</v>
      </c>
      <c r="R34" s="1576" t="s">
        <v>8</v>
      </c>
      <c r="S34" s="1577">
        <f t="shared" si="12"/>
        <v>100</v>
      </c>
      <c r="T34" s="1576" t="s">
        <v>8</v>
      </c>
      <c r="U34" s="1577">
        <f t="shared" si="13"/>
        <v>100</v>
      </c>
      <c r="V34" s="1576" t="s">
        <v>8</v>
      </c>
      <c r="W34" s="1577">
        <f t="shared" si="14"/>
        <v>100</v>
      </c>
      <c r="X34" s="1570"/>
      <c r="Y34" s="3397"/>
      <c r="Z34" s="1578" t="str">
        <f t="shared" si="15"/>
        <v>建筑结构</v>
      </c>
      <c r="AA34" s="1579">
        <f t="shared" si="3"/>
        <v>1</v>
      </c>
      <c r="AB34" s="1579">
        <f t="shared" si="4"/>
        <v>1</v>
      </c>
      <c r="AC34" s="1579">
        <f t="shared" si="5"/>
        <v>1</v>
      </c>
    </row>
    <row r="35" spans="1:29" ht="15">
      <c r="A35" s="596"/>
      <c r="B35" s="529" t="s">
        <v>764</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6"/>
      <c r="M35" s="2138"/>
      <c r="N35" s="2138"/>
      <c r="O35" s="2145"/>
      <c r="P35" s="3397"/>
      <c r="Q35" s="1575" t="str">
        <f t="shared" si="11"/>
        <v>公共部分装修</v>
      </c>
      <c r="R35" s="1576" t="s">
        <v>8</v>
      </c>
      <c r="S35" s="1577">
        <f t="shared" si="12"/>
        <v>100</v>
      </c>
      <c r="T35" s="1576" t="s">
        <v>8</v>
      </c>
      <c r="U35" s="1577">
        <f t="shared" si="13"/>
        <v>100</v>
      </c>
      <c r="V35" s="1576" t="s">
        <v>8</v>
      </c>
      <c r="W35" s="1577">
        <f t="shared" si="14"/>
        <v>100</v>
      </c>
      <c r="X35" s="1570"/>
      <c r="Y35" s="3397"/>
      <c r="Z35" s="1578" t="str">
        <f t="shared" si="15"/>
        <v>公共部分装修</v>
      </c>
      <c r="AA35" s="1579">
        <f t="shared" si="3"/>
        <v>1</v>
      </c>
      <c r="AB35" s="1579">
        <f t="shared" si="4"/>
        <v>1</v>
      </c>
      <c r="AC35" s="1579">
        <f t="shared" si="5"/>
        <v>1</v>
      </c>
    </row>
    <row r="36" spans="1:29" ht="15">
      <c r="A36" s="596"/>
      <c r="B36" s="529" t="s">
        <v>765</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6"/>
      <c r="M36" s="2138"/>
      <c r="N36" s="2138"/>
      <c r="O36" s="2145"/>
      <c r="P36" s="3397"/>
      <c r="Q36" s="1575" t="str">
        <f t="shared" si="11"/>
        <v>成新度</v>
      </c>
      <c r="R36" s="1576" t="s">
        <v>8</v>
      </c>
      <c r="S36" s="1577" t="e">
        <f t="shared" si="12"/>
        <v>#N/A</v>
      </c>
      <c r="T36" s="1576" t="s">
        <v>8</v>
      </c>
      <c r="U36" s="1577" t="e">
        <f t="shared" si="13"/>
        <v>#N/A</v>
      </c>
      <c r="V36" s="1576" t="s">
        <v>8</v>
      </c>
      <c r="W36" s="1577" t="e">
        <f t="shared" si="14"/>
        <v>#N/A</v>
      </c>
      <c r="X36" s="1570"/>
      <c r="Y36" s="3397"/>
      <c r="Z36" s="1578" t="str">
        <f t="shared" si="15"/>
        <v>成新度</v>
      </c>
      <c r="AA36" s="1579" t="e">
        <f t="shared" si="3"/>
        <v>#N/A</v>
      </c>
      <c r="AB36" s="1579" t="e">
        <f t="shared" si="4"/>
        <v>#N/A</v>
      </c>
      <c r="AC36" s="1579" t="e">
        <f t="shared" si="5"/>
        <v>#N/A</v>
      </c>
    </row>
    <row r="37" spans="1:29" s="1222" customFormat="1" ht="15">
      <c r="A37" s="602"/>
      <c r="B37" s="1899" t="s">
        <v>2569</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9"/>
      <c r="M37" s="2140"/>
      <c r="N37" s="2140"/>
      <c r="O37" s="2141"/>
      <c r="P37" s="3397"/>
      <c r="Q37" s="1153" t="str">
        <f t="shared" si="11"/>
        <v>市政基础设施</v>
      </c>
      <c r="R37" s="1571" t="s">
        <v>8</v>
      </c>
      <c r="S37" s="1572">
        <f t="shared" si="12"/>
        <v>100</v>
      </c>
      <c r="T37" s="1571" t="s">
        <v>8</v>
      </c>
      <c r="U37" s="1572">
        <f t="shared" si="13"/>
        <v>100</v>
      </c>
      <c r="V37" s="1571" t="s">
        <v>8</v>
      </c>
      <c r="W37" s="1572">
        <f t="shared" si="14"/>
        <v>100</v>
      </c>
      <c r="X37" s="1573"/>
      <c r="Y37" s="3397"/>
      <c r="Z37" s="1152" t="str">
        <f t="shared" si="15"/>
        <v>市政基础设施</v>
      </c>
      <c r="AA37" s="1574">
        <f t="shared" si="3"/>
        <v>1</v>
      </c>
      <c r="AB37" s="1574">
        <f t="shared" si="4"/>
        <v>1</v>
      </c>
      <c r="AC37" s="1574">
        <f t="shared" si="5"/>
        <v>1</v>
      </c>
    </row>
    <row r="38" spans="1:29" ht="15">
      <c r="A38" s="596"/>
      <c r="B38" s="529" t="s">
        <v>766</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6"/>
      <c r="M38" s="2138"/>
      <c r="N38" s="2138"/>
      <c r="O38" s="2145"/>
      <c r="P38" s="3397" t="s">
        <v>767</v>
      </c>
      <c r="Q38" s="1575" t="str">
        <f t="shared" si="11"/>
        <v>业态</v>
      </c>
      <c r="R38" s="1576" t="s">
        <v>8</v>
      </c>
      <c r="S38" s="1577">
        <f t="shared" si="12"/>
        <v>100</v>
      </c>
      <c r="T38" s="1576" t="s">
        <v>8</v>
      </c>
      <c r="U38" s="1577">
        <f t="shared" si="13"/>
        <v>100</v>
      </c>
      <c r="V38" s="1576" t="s">
        <v>8</v>
      </c>
      <c r="W38" s="1577">
        <f t="shared" si="14"/>
        <v>100</v>
      </c>
      <c r="X38" s="1570"/>
      <c r="Y38" s="3397" t="s">
        <v>767</v>
      </c>
      <c r="Z38" s="1578" t="str">
        <f t="shared" si="15"/>
        <v>业态</v>
      </c>
      <c r="AA38" s="1579">
        <f t="shared" si="3"/>
        <v>1</v>
      </c>
      <c r="AB38" s="1579">
        <f t="shared" si="4"/>
        <v>1</v>
      </c>
      <c r="AC38" s="1579">
        <f t="shared" si="5"/>
        <v>1</v>
      </c>
    </row>
    <row r="39" spans="1:29" ht="15">
      <c r="A39" s="596"/>
      <c r="B39" s="529" t="s">
        <v>768</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97"/>
      <c r="Q39" s="1575" t="str">
        <f t="shared" si="11"/>
        <v>层高</v>
      </c>
      <c r="R39" s="1576" t="s">
        <v>8</v>
      </c>
      <c r="S39" s="1577">
        <f t="shared" si="12"/>
        <v>100</v>
      </c>
      <c r="T39" s="1576" t="s">
        <v>8</v>
      </c>
      <c r="U39" s="1577">
        <f t="shared" si="13"/>
        <v>100</v>
      </c>
      <c r="V39" s="1576" t="s">
        <v>8</v>
      </c>
      <c r="W39" s="1577">
        <f t="shared" si="14"/>
        <v>100</v>
      </c>
      <c r="X39" s="1570"/>
      <c r="Y39" s="3397"/>
      <c r="Z39" s="1578" t="str">
        <f t="shared" si="15"/>
        <v>层高</v>
      </c>
      <c r="AA39" s="1579">
        <f t="shared" si="3"/>
        <v>1</v>
      </c>
      <c r="AB39" s="1579">
        <f t="shared" si="4"/>
        <v>1</v>
      </c>
      <c r="AC39" s="1579">
        <f t="shared" si="5"/>
        <v>1</v>
      </c>
    </row>
    <row r="40" spans="1:29" ht="15">
      <c r="A40" s="596"/>
      <c r="B40" s="529" t="s">
        <v>769</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6"/>
      <c r="M40" s="2138"/>
      <c r="N40" s="2138"/>
      <c r="O40" s="2145"/>
      <c r="P40" s="3397"/>
      <c r="Q40" s="1575" t="str">
        <f t="shared" si="11"/>
        <v>单套建筑面积</v>
      </c>
      <c r="R40" s="1576" t="s">
        <v>8</v>
      </c>
      <c r="S40" s="1577">
        <f t="shared" si="12"/>
        <v>100</v>
      </c>
      <c r="T40" s="1576" t="s">
        <v>8</v>
      </c>
      <c r="U40" s="1577">
        <f t="shared" si="13"/>
        <v>100</v>
      </c>
      <c r="V40" s="1576" t="s">
        <v>8</v>
      </c>
      <c r="W40" s="1577">
        <f t="shared" si="14"/>
        <v>100</v>
      </c>
      <c r="X40" s="1570"/>
      <c r="Y40" s="3397"/>
      <c r="Z40" s="1578" t="str">
        <f t="shared" si="15"/>
        <v>单套建筑面积</v>
      </c>
      <c r="AA40" s="1579">
        <f t="shared" si="3"/>
        <v>1</v>
      </c>
      <c r="AB40" s="1579">
        <f t="shared" si="4"/>
        <v>1</v>
      </c>
      <c r="AC40" s="1579">
        <f t="shared" si="5"/>
        <v>1</v>
      </c>
    </row>
    <row r="41" spans="1:29" s="1341" customFormat="1" ht="15">
      <c r="A41" s="605"/>
      <c r="B41" s="906" t="s">
        <v>770</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4"/>
      <c r="M41" s="2175"/>
      <c r="N41" s="2175"/>
      <c r="O41" s="2147"/>
      <c r="P41" s="3397"/>
      <c r="Q41" s="1608" t="str">
        <f t="shared" si="11"/>
        <v>进深比</v>
      </c>
      <c r="R41" s="1580" t="s">
        <v>8</v>
      </c>
      <c r="S41" s="1581">
        <f t="shared" si="12"/>
        <v>100</v>
      </c>
      <c r="T41" s="1580" t="s">
        <v>8</v>
      </c>
      <c r="U41" s="1581">
        <f t="shared" si="13"/>
        <v>100</v>
      </c>
      <c r="V41" s="1580" t="s">
        <v>8</v>
      </c>
      <c r="W41" s="1581">
        <f t="shared" si="14"/>
        <v>100</v>
      </c>
      <c r="X41" s="1582"/>
      <c r="Y41" s="3397"/>
      <c r="Z41" s="1583" t="str">
        <f t="shared" si="15"/>
        <v>进深比</v>
      </c>
      <c r="AA41" s="1579">
        <f t="shared" si="3"/>
        <v>1</v>
      </c>
      <c r="AB41" s="1579">
        <f t="shared" si="4"/>
        <v>1</v>
      </c>
      <c r="AC41" s="1579">
        <f t="shared" si="5"/>
        <v>1</v>
      </c>
    </row>
    <row r="42" spans="1:29" ht="15">
      <c r="A42" s="596"/>
      <c r="B42" s="529" t="s">
        <v>771</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6"/>
      <c r="M42" s="2138"/>
      <c r="N42" s="2138"/>
      <c r="O42" s="2145"/>
      <c r="P42" s="3397"/>
      <c r="Q42" s="1575" t="str">
        <f t="shared" si="11"/>
        <v>内部装修</v>
      </c>
      <c r="R42" s="1576" t="s">
        <v>8</v>
      </c>
      <c r="S42" s="1577">
        <f t="shared" si="12"/>
        <v>100</v>
      </c>
      <c r="T42" s="1576" t="s">
        <v>8</v>
      </c>
      <c r="U42" s="1577">
        <f t="shared" si="13"/>
        <v>100</v>
      </c>
      <c r="V42" s="1576" t="s">
        <v>8</v>
      </c>
      <c r="W42" s="1577">
        <f t="shared" si="14"/>
        <v>100</v>
      </c>
      <c r="X42" s="1570"/>
      <c r="Y42" s="3397"/>
      <c r="Z42" s="1578" t="str">
        <f t="shared" si="15"/>
        <v>内部装修</v>
      </c>
      <c r="AA42" s="1579">
        <f t="shared" si="3"/>
        <v>1</v>
      </c>
      <c r="AB42" s="1579">
        <f t="shared" si="4"/>
        <v>1</v>
      </c>
      <c r="AC42" s="1579">
        <f t="shared" si="5"/>
        <v>1</v>
      </c>
    </row>
    <row r="43" spans="1:29" ht="27">
      <c r="A43" s="596"/>
      <c r="B43" s="529" t="s">
        <v>736</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6"/>
      <c r="M43" s="2138"/>
      <c r="N43" s="2138"/>
      <c r="O43" s="2145"/>
      <c r="P43" s="3397"/>
      <c r="Q43" s="1575" t="str">
        <f t="shared" si="11"/>
        <v>内部装修维护情况</v>
      </c>
      <c r="R43" s="1576" t="s">
        <v>8</v>
      </c>
      <c r="S43" s="1577">
        <f t="shared" si="12"/>
        <v>100</v>
      </c>
      <c r="T43" s="1576" t="s">
        <v>8</v>
      </c>
      <c r="U43" s="1577">
        <f t="shared" si="13"/>
        <v>100</v>
      </c>
      <c r="V43" s="1576" t="s">
        <v>8</v>
      </c>
      <c r="W43" s="1577">
        <f t="shared" si="14"/>
        <v>100</v>
      </c>
      <c r="X43" s="1570"/>
      <c r="Y43" s="3397"/>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9"/>
      <c r="M44" s="2140"/>
      <c r="N44" s="2140"/>
      <c r="O44" s="2141"/>
      <c r="P44" s="3397"/>
      <c r="Q44" s="1153">
        <f t="shared" si="11"/>
        <v>111</v>
      </c>
      <c r="R44" s="1571" t="s">
        <v>8</v>
      </c>
      <c r="S44" s="1572">
        <f t="shared" si="12"/>
        <v>100</v>
      </c>
      <c r="T44" s="1571" t="s">
        <v>8</v>
      </c>
      <c r="U44" s="1572">
        <f t="shared" si="13"/>
        <v>100</v>
      </c>
      <c r="V44" s="1571" t="s">
        <v>8</v>
      </c>
      <c r="W44" s="1572">
        <f t="shared" si="14"/>
        <v>100</v>
      </c>
      <c r="X44" s="1573"/>
      <c r="Y44" s="3397"/>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6"/>
      <c r="M45" s="2138"/>
      <c r="N45" s="2138"/>
      <c r="O45" s="2145"/>
      <c r="P45" s="3397"/>
      <c r="Q45" s="1575">
        <f t="shared" si="11"/>
        <v>111</v>
      </c>
      <c r="R45" s="1576" t="s">
        <v>8</v>
      </c>
      <c r="S45" s="1577">
        <f t="shared" si="12"/>
        <v>100</v>
      </c>
      <c r="T45" s="1576" t="s">
        <v>8</v>
      </c>
      <c r="U45" s="1577">
        <f t="shared" si="13"/>
        <v>100</v>
      </c>
      <c r="V45" s="1576" t="s">
        <v>8</v>
      </c>
      <c r="W45" s="1577">
        <f t="shared" si="14"/>
        <v>100</v>
      </c>
      <c r="X45" s="1570"/>
      <c r="Y45" s="3397"/>
      <c r="Z45" s="1578">
        <f t="shared" si="15"/>
        <v>111</v>
      </c>
      <c r="AA45" s="1579">
        <f t="shared" si="3"/>
        <v>1</v>
      </c>
      <c r="AB45" s="1579">
        <f t="shared" si="4"/>
        <v>1</v>
      </c>
      <c r="AC45" s="1579">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6"/>
      <c r="M46" s="2138"/>
      <c r="N46" s="2138"/>
      <c r="O46" s="2145"/>
      <c r="P46" s="3474"/>
      <c r="Q46" s="1575">
        <f t="shared" si="11"/>
        <v>111</v>
      </c>
      <c r="R46" s="1576" t="s">
        <v>8</v>
      </c>
      <c r="S46" s="1577">
        <f t="shared" si="12"/>
        <v>100</v>
      </c>
      <c r="T46" s="1576" t="s">
        <v>8</v>
      </c>
      <c r="U46" s="1577">
        <f t="shared" si="13"/>
        <v>100</v>
      </c>
      <c r="V46" s="1576" t="s">
        <v>8</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1</v>
      </c>
      <c r="D47" s="2656"/>
      <c r="E47" s="2657"/>
      <c r="F47" s="2658"/>
      <c r="G47" s="2659"/>
      <c r="H47" s="2660"/>
      <c r="I47" s="2657"/>
      <c r="J47" s="2660"/>
      <c r="K47" s="1614"/>
      <c r="L47" s="2148"/>
      <c r="M47" s="2149"/>
      <c r="N47" s="2138"/>
      <c r="O47" s="2149"/>
      <c r="P47" s="3360" t="str">
        <f>A47</f>
        <v>成交单价（元/平方米）</v>
      </c>
      <c r="Q47" s="3360"/>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5"/>
      <c r="L48" s="2148"/>
      <c r="M48" s="2149"/>
      <c r="N48" s="2138"/>
      <c r="O48" s="2149"/>
      <c r="P48" s="3360" t="str">
        <f>A48</f>
        <v>比较价格（元/平方米）</v>
      </c>
      <c r="Q48" s="3360"/>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6"/>
      <c r="L49" s="2148"/>
      <c r="M49" s="2149"/>
      <c r="N49" s="2138"/>
      <c r="O49" s="2149"/>
      <c r="P49" s="3357" t="str">
        <f>A49</f>
        <v>估价对象XX用房的比较价格（楼面单价，元/平方米）</v>
      </c>
      <c r="Q49" s="3358"/>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2"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3"/>
      <c r="N59" s="652"/>
      <c r="O59" s="654"/>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673"/>
      <c r="F64" s="673"/>
      <c r="G64" s="673"/>
      <c r="H64" s="673"/>
      <c r="I64" s="673"/>
      <c r="J64" s="673"/>
      <c r="K64" s="673"/>
      <c r="L64" s="673"/>
      <c r="M64" s="674"/>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73"/>
      <c r="E73" s="673"/>
      <c r="F73" s="673"/>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675" t="s">
        <v>772</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1"/>
      <c r="B92" s="675" t="str">
        <f>B28</f>
        <v>楼层</v>
      </c>
      <c r="C92" s="690"/>
      <c r="D92" s="690"/>
      <c r="E92" s="690"/>
      <c r="F92" s="690"/>
      <c r="G92" s="690"/>
      <c r="H92" s="690"/>
      <c r="I92" s="690"/>
      <c r="J92" s="690"/>
      <c r="K92" s="690"/>
      <c r="L92" s="892"/>
      <c r="M92" s="89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73"/>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73"/>
      <c r="E95" s="673"/>
      <c r="F95" s="673"/>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94"/>
      <c r="D97" s="673"/>
      <c r="E97" s="673"/>
      <c r="F97" s="673"/>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690"/>
      <c r="D98" s="690"/>
      <c r="E98" s="690"/>
      <c r="F98" s="690"/>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02"/>
      <c r="D99" s="702"/>
      <c r="E99" s="702"/>
      <c r="F99" s="702"/>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773</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752</v>
      </c>
      <c r="C107" s="690"/>
      <c r="D107" s="690"/>
      <c r="E107" s="69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753</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c r="A110" s="737"/>
      <c r="B110" s="683"/>
      <c r="C110" s="896">
        <v>0.5</v>
      </c>
      <c r="D110" s="896">
        <v>0.6</v>
      </c>
      <c r="E110" s="896">
        <v>0.7</v>
      </c>
      <c r="F110" s="896">
        <v>0.8</v>
      </c>
      <c r="G110" s="896">
        <v>0.9</v>
      </c>
      <c r="H110" s="896">
        <v>1.0001</v>
      </c>
      <c r="I110" s="907"/>
      <c r="J110" s="907"/>
      <c r="K110" s="908"/>
      <c r="L110" s="909"/>
      <c r="M110" s="910"/>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0"/>
      <c r="O111" s="2170"/>
      <c r="P111" s="2169"/>
      <c r="Q111" s="2162"/>
      <c r="R111" s="2149"/>
      <c r="S111" s="2149"/>
      <c r="T111" s="2149"/>
      <c r="U111" s="2149"/>
      <c r="V111" s="2149"/>
      <c r="W111" s="2149"/>
      <c r="X111" s="2149"/>
      <c r="Y111" s="2149"/>
      <c r="Z111" s="2149"/>
      <c r="AA111" s="2149"/>
      <c r="AB111" s="2149"/>
      <c r="AC111" s="2149"/>
    </row>
    <row r="112" spans="1:29" s="1341" customFormat="1" ht="15" thickTop="1">
      <c r="A112" s="730"/>
      <c r="B112" s="1900" t="s">
        <v>2560</v>
      </c>
      <c r="C112" s="690"/>
      <c r="D112" s="690"/>
      <c r="E112" s="690"/>
      <c r="F112" s="690"/>
      <c r="G112" s="690"/>
      <c r="H112" s="720"/>
      <c r="I112" s="720"/>
      <c r="J112" s="720"/>
      <c r="K112" s="721"/>
      <c r="L112" s="722"/>
      <c r="M112" s="723"/>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774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675" t="s">
        <v>775</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776</v>
      </c>
      <c r="C118" s="911"/>
      <c r="D118" s="911"/>
      <c r="E118" s="911"/>
      <c r="F118" s="911"/>
      <c r="G118" s="911"/>
      <c r="H118" s="691"/>
      <c r="I118" s="691"/>
      <c r="J118" s="691"/>
      <c r="K118" s="691"/>
      <c r="L118" s="692"/>
      <c r="M118" s="69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s="1341" customFormat="1" ht="15" thickTop="1">
      <c r="A120" s="730"/>
      <c r="B120" s="675" t="s">
        <v>777</v>
      </c>
      <c r="C120" s="720"/>
      <c r="D120" s="720"/>
      <c r="E120" s="720"/>
      <c r="F120" s="720"/>
      <c r="G120" s="691"/>
      <c r="H120" s="691"/>
      <c r="I120" s="691"/>
      <c r="J120" s="691"/>
      <c r="K120" s="691"/>
      <c r="L120" s="692"/>
      <c r="M120" s="6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73"/>
      <c r="E129" s="673"/>
      <c r="F129" s="673"/>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5"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778</v>
      </c>
      <c r="C1" s="506" t="s">
        <v>721</v>
      </c>
      <c r="D1" s="851"/>
      <c r="E1" s="508"/>
      <c r="F1" s="2837"/>
      <c r="G1" s="1604" t="s">
        <v>722</v>
      </c>
      <c r="H1" s="508"/>
      <c r="I1" s="508"/>
      <c r="J1" s="508"/>
      <c r="K1" s="509"/>
      <c r="L1" s="1565"/>
      <c r="M1" s="1566"/>
      <c r="N1" s="1566"/>
      <c r="O1" s="1566"/>
      <c r="P1" s="2211"/>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8" customFormat="1" ht="28.5" customHeight="1" thickBot="1">
      <c r="A3" s="511" t="s">
        <v>520</v>
      </c>
      <c r="B3" s="512" t="e">
        <f>C50</f>
        <v>#DIV/0!</v>
      </c>
      <c r="C3" s="854" t="s">
        <v>723</v>
      </c>
      <c r="D3" s="853">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4" t="s">
        <v>522</v>
      </c>
      <c r="B4" s="515"/>
      <c r="C4" s="3366" t="s">
        <v>523</v>
      </c>
      <c r="D4" s="3367"/>
      <c r="E4" s="3400" t="s">
        <v>524</v>
      </c>
      <c r="F4" s="3401"/>
      <c r="G4" s="3366" t="s">
        <v>525</v>
      </c>
      <c r="H4" s="3367"/>
      <c r="I4" s="3366" t="s">
        <v>526</v>
      </c>
      <c r="J4" s="3367"/>
      <c r="K4" s="516" t="s">
        <v>527</v>
      </c>
      <c r="L4" s="2137"/>
      <c r="M4" s="2138"/>
      <c r="N4" s="2138"/>
      <c r="O4" s="2138"/>
      <c r="P4" s="3476" t="s">
        <v>528</v>
      </c>
      <c r="Q4" s="3369"/>
      <c r="R4" s="3374" t="s">
        <v>524</v>
      </c>
      <c r="S4" s="3375"/>
      <c r="T4" s="3374" t="s">
        <v>525</v>
      </c>
      <c r="U4" s="3375"/>
      <c r="V4" s="3361" t="s">
        <v>526</v>
      </c>
      <c r="W4" s="3361"/>
      <c r="X4" s="1570"/>
      <c r="Y4" s="3374" t="s">
        <v>528</v>
      </c>
      <c r="Z4" s="3375"/>
      <c r="AA4" s="3363" t="s">
        <v>524</v>
      </c>
      <c r="AB4" s="3363" t="s">
        <v>525</v>
      </c>
      <c r="AC4" s="3363" t="s">
        <v>526</v>
      </c>
    </row>
    <row r="5" spans="1:29" ht="15">
      <c r="A5" s="517"/>
      <c r="B5" s="518"/>
      <c r="C5" s="3382" t="s">
        <v>2936</v>
      </c>
      <c r="D5" s="3383"/>
      <c r="E5" s="3402" t="s">
        <v>2937</v>
      </c>
      <c r="F5" s="3403"/>
      <c r="G5" s="3382" t="s">
        <v>2938</v>
      </c>
      <c r="H5" s="3383"/>
      <c r="I5" s="3382" t="s">
        <v>2939</v>
      </c>
      <c r="J5" s="3383"/>
      <c r="K5" s="516"/>
      <c r="L5" s="2137"/>
      <c r="M5" s="2138"/>
      <c r="N5" s="2138"/>
      <c r="O5" s="2138"/>
      <c r="P5" s="3477"/>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478"/>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43032</v>
      </c>
      <c r="D7" s="522">
        <v>100</v>
      </c>
      <c r="E7" s="523"/>
      <c r="F7" s="524">
        <f>SUMIF(59:59,YEAR(E7)&amp;"-"&amp;MONTH(E7),60:60)</f>
        <v>0</v>
      </c>
      <c r="G7" s="523"/>
      <c r="H7" s="522">
        <f>SUMIF(59:59,YEAR(G7)&amp;"-"&amp;MONTH(G7),60:60)</f>
        <v>0</v>
      </c>
      <c r="I7" s="523"/>
      <c r="J7" s="522">
        <f>SUMIF(59:59,YEAR(I7)&amp;"-"&amp;MONTH(I7),60:60)</f>
        <v>0</v>
      </c>
      <c r="K7" s="526"/>
      <c r="L7" s="2139"/>
      <c r="M7" s="2140"/>
      <c r="N7" s="2140"/>
      <c r="O7" s="2140"/>
      <c r="P7" s="3393" t="s">
        <v>531</v>
      </c>
      <c r="Q7" s="3393"/>
      <c r="R7" s="1571" t="s">
        <v>8</v>
      </c>
      <c r="S7" s="1572">
        <f t="shared" ref="S7:S15" si="0">F7</f>
        <v>0</v>
      </c>
      <c r="T7" s="1571" t="s">
        <v>8</v>
      </c>
      <c r="U7" s="1572">
        <f t="shared" ref="U7:U15" si="1">H7</f>
        <v>0</v>
      </c>
      <c r="V7" s="1571" t="s">
        <v>8</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SUMIF(62:62,E8,63:63)-SUMIF(62:62,C8,63:63)+100</f>
        <v>0</v>
      </c>
      <c r="G8" s="527"/>
      <c r="H8" s="522">
        <f>SUMIF(62:62,G8,63:63)-SUMIF(62:62,C8,63:63)+100</f>
        <v>0</v>
      </c>
      <c r="I8" s="527"/>
      <c r="J8" s="522">
        <f>SUMIF(62:62,I8,63:63)-SUMIF(62:62,C8,63:63)+100</f>
        <v>0</v>
      </c>
      <c r="K8" s="526"/>
      <c r="L8" s="2139"/>
      <c r="M8" s="2140"/>
      <c r="N8" s="2140"/>
      <c r="O8" s="2140"/>
      <c r="P8" s="3393" t="s">
        <v>534</v>
      </c>
      <c r="Q8" s="3392"/>
      <c r="R8" s="1571" t="s">
        <v>8</v>
      </c>
      <c r="S8" s="1572">
        <f t="shared" si="0"/>
        <v>0</v>
      </c>
      <c r="T8" s="1571" t="s">
        <v>8</v>
      </c>
      <c r="U8" s="1572">
        <f t="shared" si="1"/>
        <v>0</v>
      </c>
      <c r="V8" s="1571" t="s">
        <v>8</v>
      </c>
      <c r="W8" s="1572">
        <f t="shared" si="2"/>
        <v>0</v>
      </c>
      <c r="X8" s="1573"/>
      <c r="Y8" s="3391" t="s">
        <v>534</v>
      </c>
      <c r="Z8" s="3392"/>
      <c r="AA8" s="1574" t="e">
        <f t="shared" ref="AA8:AA47" si="3">D8/F8</f>
        <v>#DIV/0!</v>
      </c>
      <c r="AB8" s="1574" t="e">
        <f t="shared" ref="AB8:AB47" si="4">D8/H8</f>
        <v>#DIV/0!</v>
      </c>
      <c r="AC8" s="1574" t="e">
        <f t="shared" ref="AC8:AC47" si="5">D8/J8</f>
        <v>#DIV/0!</v>
      </c>
    </row>
    <row r="9" spans="1:29" s="1222" customFormat="1" ht="15">
      <c r="A9" s="2944"/>
      <c r="B9" s="2951" t="s">
        <v>2762</v>
      </c>
      <c r="C9" s="859"/>
      <c r="D9" s="253">
        <v>100</v>
      </c>
      <c r="E9" s="862"/>
      <c r="F9" s="253">
        <f>SUMIF(64:64,E9,65:65)-SUMIF(64:64,C9,65:65)+100</f>
        <v>100</v>
      </c>
      <c r="G9" s="860"/>
      <c r="H9" s="253">
        <f>SUMIF(64:64,G9,65:65)-SUMIF(64:64,C9,65:65)+100</f>
        <v>100</v>
      </c>
      <c r="I9" s="860"/>
      <c r="J9" s="253">
        <f>SUMIF(64:64,I9,65:65)-SUMIF(64:64,C9,65:65)+100</f>
        <v>100</v>
      </c>
      <c r="K9" s="526"/>
      <c r="L9" s="2139"/>
      <c r="M9" s="2140"/>
      <c r="N9" s="2140"/>
      <c r="O9" s="2140"/>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SUMIF(66:66,E10,67:67)-SUMIF(66:66,C10,67:67)+100</f>
        <v>100</v>
      </c>
      <c r="G10" s="864"/>
      <c r="H10" s="254">
        <f>SUMIF(66:66,G10,67:67)-SUMIF(66:66,C10,67:67)+100</f>
        <v>100</v>
      </c>
      <c r="I10" s="863"/>
      <c r="J10" s="254">
        <f>SUMIF(66:66,I10,67:67)-SUMIF(66:66,C10,67:67)+100</f>
        <v>100</v>
      </c>
      <c r="K10" s="586"/>
      <c r="L10" s="2142"/>
      <c r="M10" s="2182"/>
      <c r="N10" s="2182"/>
      <c r="O10" s="2182"/>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4"/>
      <c r="M11" s="2138"/>
      <c r="N11" s="2138"/>
      <c r="O11" s="2138"/>
      <c r="P11" s="3360"/>
      <c r="Q11" s="1153" t="str">
        <f t="shared" si="6"/>
        <v>容积率</v>
      </c>
      <c r="R11" s="1571" t="s">
        <v>8</v>
      </c>
      <c r="S11" s="1572" t="e">
        <f t="shared" si="0"/>
        <v>#N/A</v>
      </c>
      <c r="T11" s="1571" t="s">
        <v>8</v>
      </c>
      <c r="U11" s="1572" t="e">
        <f t="shared" si="1"/>
        <v>#N/A</v>
      </c>
      <c r="V11" s="1571" t="s">
        <v>8</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254">
        <f>SUMIF(71:71,E12,72:72)-SUMIF(71:71,C12,72:72)+100</f>
        <v>100</v>
      </c>
      <c r="G12" s="912"/>
      <c r="H12" s="254">
        <f>SUMIF(71:71,G12,72:72)-SUMIF(71:71,C12,72:72)+100</f>
        <v>100</v>
      </c>
      <c r="I12" s="530"/>
      <c r="J12" s="254">
        <f>SUMIF(71:71,I12,72:72)-SUMIF(71:71,C12,72:72)+100</f>
        <v>100</v>
      </c>
      <c r="K12" s="583"/>
      <c r="L12" s="2139"/>
      <c r="M12" s="2140"/>
      <c r="N12" s="2140"/>
      <c r="O12" s="2140"/>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30"/>
      <c r="F13" s="254">
        <f>SUMIF(73:73,E13,74:74)-SUMIF(73:73,C13,74:74)+100</f>
        <v>100</v>
      </c>
      <c r="G13" s="912"/>
      <c r="H13" s="542">
        <f>SUMIF(73:73,G13,74:74)-SUMIF(73:73,C13,74:74)+100</f>
        <v>100</v>
      </c>
      <c r="I13" s="530"/>
      <c r="J13" s="542">
        <f>SUMIF(73:73,I13,74:74)-SUMIF(73:73,C13,74:74)+100</f>
        <v>100</v>
      </c>
      <c r="K13" s="583"/>
      <c r="L13" s="2146"/>
      <c r="M13" s="2138"/>
      <c r="N13" s="2138"/>
      <c r="O13" s="2138"/>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913"/>
      <c r="F14" s="548">
        <f>SUMIF(75:75,E14,76:76)-SUMIF(75:75,C14,76:76)+100</f>
        <v>100</v>
      </c>
      <c r="G14" s="912"/>
      <c r="H14" s="548">
        <f>SUMIF(75:75,G14,76:76)-SUMIF(75:75,C14,76:76)+100</f>
        <v>100</v>
      </c>
      <c r="I14" s="530"/>
      <c r="J14" s="548">
        <f>SUMIF(75:75,I14,76:76)-SUMIF(75:75,C14,76:76)+100</f>
        <v>100</v>
      </c>
      <c r="K14" s="583"/>
      <c r="L14" s="2146"/>
      <c r="M14" s="2138"/>
      <c r="N14" s="2138"/>
      <c r="O14" s="2138"/>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 t="shared" si="3"/>
        <v>1</v>
      </c>
      <c r="AB14" s="1574">
        <f t="shared" si="4"/>
        <v>1</v>
      </c>
      <c r="AC14" s="1574">
        <f t="shared" si="5"/>
        <v>1</v>
      </c>
    </row>
    <row r="15" spans="1:29" ht="71.25">
      <c r="A15" s="2940" t="s">
        <v>2760</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6"/>
      <c r="M15" s="2138"/>
      <c r="N15" s="2138"/>
      <c r="O15" s="2138"/>
      <c r="P15" s="3394" t="s">
        <v>541</v>
      </c>
      <c r="Q15" s="1575" t="str">
        <f t="shared" si="6"/>
        <v>办公集聚程度</v>
      </c>
      <c r="R15" s="1576" t="s">
        <v>8</v>
      </c>
      <c r="S15" s="1577">
        <f t="shared" si="0"/>
        <v>100</v>
      </c>
      <c r="T15" s="1576" t="s">
        <v>8</v>
      </c>
      <c r="U15" s="1577">
        <f t="shared" si="1"/>
        <v>100</v>
      </c>
      <c r="V15" s="1576" t="s">
        <v>8</v>
      </c>
      <c r="W15" s="1577">
        <f t="shared" si="2"/>
        <v>100</v>
      </c>
      <c r="X15" s="1570"/>
      <c r="Y15" s="3394"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1"/>
      <c r="L16" s="2146"/>
      <c r="M16" s="2138"/>
      <c r="N16" s="2138"/>
      <c r="O16" s="2138"/>
      <c r="P16" s="3395"/>
      <c r="Q16" s="1575"/>
      <c r="R16" s="1576"/>
      <c r="S16" s="1577"/>
      <c r="T16" s="1576"/>
      <c r="U16" s="1577"/>
      <c r="V16" s="1576"/>
      <c r="W16" s="1577"/>
      <c r="X16" s="1570"/>
      <c r="Y16" s="3395"/>
      <c r="Z16" s="1578"/>
      <c r="AA16" s="1579">
        <v>1</v>
      </c>
      <c r="AB16" s="1579">
        <v>1</v>
      </c>
      <c r="AC16" s="1579">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6"/>
      <c r="M17" s="2138"/>
      <c r="N17" s="2138"/>
      <c r="O17" s="2138"/>
      <c r="P17" s="3395"/>
      <c r="Q17" s="1575" t="str">
        <f>B17</f>
        <v>交通便捷度</v>
      </c>
      <c r="R17" s="1576" t="s">
        <v>8</v>
      </c>
      <c r="S17" s="1577">
        <f>F17</f>
        <v>100</v>
      </c>
      <c r="T17" s="1576" t="s">
        <v>8</v>
      </c>
      <c r="U17" s="1577">
        <f>H17</f>
        <v>100</v>
      </c>
      <c r="V17" s="1576" t="s">
        <v>8</v>
      </c>
      <c r="W17" s="1577">
        <f>J17</f>
        <v>100</v>
      </c>
      <c r="X17" s="1570"/>
      <c r="Y17" s="3395"/>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1"/>
      <c r="L18" s="2146"/>
      <c r="M18" s="2138"/>
      <c r="N18" s="2138"/>
      <c r="O18" s="2138"/>
      <c r="P18" s="3395"/>
      <c r="Q18" s="1575"/>
      <c r="R18" s="1576"/>
      <c r="S18" s="1577"/>
      <c r="T18" s="1576"/>
      <c r="U18" s="1577"/>
      <c r="V18" s="1576"/>
      <c r="W18" s="1577"/>
      <c r="X18" s="1570"/>
      <c r="Y18" s="3395"/>
      <c r="Z18" s="1578"/>
      <c r="AA18" s="1579">
        <v>1</v>
      </c>
      <c r="AB18" s="1579">
        <v>1</v>
      </c>
      <c r="AC18" s="1579">
        <v>1</v>
      </c>
    </row>
    <row r="19" spans="1:29" ht="42.75">
      <c r="A19" s="534"/>
      <c r="B19" s="2631" t="s">
        <v>2550</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6"/>
      <c r="M19" s="2138"/>
      <c r="N19" s="2138"/>
      <c r="O19" s="2138"/>
      <c r="P19" s="3395"/>
      <c r="Q19" s="1575" t="str">
        <f>B19</f>
        <v>公共配套设施</v>
      </c>
      <c r="R19" s="1576" t="s">
        <v>8</v>
      </c>
      <c r="S19" s="1577">
        <f>F19</f>
        <v>100</v>
      </c>
      <c r="T19" s="1576" t="s">
        <v>8</v>
      </c>
      <c r="U19" s="1577">
        <f>H19</f>
        <v>100</v>
      </c>
      <c r="V19" s="1576" t="s">
        <v>8</v>
      </c>
      <c r="W19" s="1577">
        <f>J19</f>
        <v>100</v>
      </c>
      <c r="X19" s="1570"/>
      <c r="Y19" s="3395"/>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1"/>
      <c r="L20" s="2146"/>
      <c r="M20" s="2138"/>
      <c r="N20" s="2138"/>
      <c r="O20" s="2138"/>
      <c r="P20" s="3395"/>
      <c r="Q20" s="1575"/>
      <c r="R20" s="1576"/>
      <c r="S20" s="1577"/>
      <c r="T20" s="1576"/>
      <c r="U20" s="1577"/>
      <c r="V20" s="1576"/>
      <c r="W20" s="1577"/>
      <c r="X20" s="1570"/>
      <c r="Y20" s="3395"/>
      <c r="Z20" s="1578"/>
      <c r="AA20" s="1579">
        <v>1</v>
      </c>
      <c r="AB20" s="1579">
        <v>1</v>
      </c>
      <c r="AC20" s="1579">
        <v>1</v>
      </c>
    </row>
    <row r="21" spans="1:29" ht="28.5">
      <c r="A21" s="534"/>
      <c r="B21" s="2619" t="s">
        <v>2562</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6"/>
      <c r="M21" s="2138"/>
      <c r="N21" s="2138"/>
      <c r="O21" s="2138"/>
      <c r="P21" s="3395"/>
      <c r="Q21" s="2607" t="str">
        <f>B21</f>
        <v>基础设施水平</v>
      </c>
      <c r="R21" s="1576" t="s">
        <v>8</v>
      </c>
      <c r="S21" s="1577">
        <f>F21</f>
        <v>100</v>
      </c>
      <c r="T21" s="1576" t="s">
        <v>8</v>
      </c>
      <c r="U21" s="1577">
        <f>H21</f>
        <v>100</v>
      </c>
      <c r="V21" s="1576" t="s">
        <v>8</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0"/>
      <c r="L22" s="2146"/>
      <c r="M22" s="2138"/>
      <c r="N22" s="2138"/>
      <c r="O22" s="2138"/>
      <c r="P22" s="3395"/>
      <c r="Q22" s="2607"/>
      <c r="R22" s="1576"/>
      <c r="S22" s="1577"/>
      <c r="T22" s="1576"/>
      <c r="U22" s="1577"/>
      <c r="V22" s="1576"/>
      <c r="W22" s="1577"/>
      <c r="X22" s="2609"/>
      <c r="Y22" s="3395"/>
      <c r="Z22" s="2608"/>
      <c r="AA22" s="1579">
        <v>1</v>
      </c>
      <c r="AB22" s="1579">
        <v>1</v>
      </c>
      <c r="AC22" s="1579">
        <v>1</v>
      </c>
    </row>
    <row r="23" spans="1:29" ht="57">
      <c r="A23" s="534"/>
      <c r="B23" s="562" t="s">
        <v>779</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6"/>
      <c r="M23" s="2138"/>
      <c r="N23" s="2138"/>
      <c r="O23" s="2138"/>
      <c r="P23" s="3395"/>
      <c r="Q23" s="1575" t="str">
        <f>B23</f>
        <v>环境质量</v>
      </c>
      <c r="R23" s="1576" t="s">
        <v>8</v>
      </c>
      <c r="S23" s="1577">
        <f>F23</f>
        <v>100</v>
      </c>
      <c r="T23" s="1576" t="s">
        <v>8</v>
      </c>
      <c r="U23" s="1577">
        <f>H23</f>
        <v>100</v>
      </c>
      <c r="V23" s="1576" t="s">
        <v>8</v>
      </c>
      <c r="W23" s="1577">
        <f>J23</f>
        <v>100</v>
      </c>
      <c r="X23" s="1570"/>
      <c r="Y23" s="3395"/>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1"/>
      <c r="L24" s="2146"/>
      <c r="M24" s="2138"/>
      <c r="N24" s="2138"/>
      <c r="O24" s="2138"/>
      <c r="P24" s="3395"/>
      <c r="Q24" s="1575"/>
      <c r="R24" s="1576"/>
      <c r="S24" s="1577"/>
      <c r="T24" s="1576"/>
      <c r="U24" s="1577"/>
      <c r="V24" s="1576"/>
      <c r="W24" s="1577"/>
      <c r="X24" s="1570"/>
      <c r="Y24" s="3395"/>
      <c r="Z24" s="1578"/>
      <c r="AA24" s="1579">
        <v>1</v>
      </c>
      <c r="AB24" s="1579">
        <v>1</v>
      </c>
      <c r="AC24" s="1579">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6"/>
      <c r="M25" s="2138"/>
      <c r="N25" s="2138"/>
      <c r="O25" s="2138"/>
      <c r="P25" s="3395"/>
      <c r="Q25" s="1575" t="str">
        <f>B25</f>
        <v>毗邻道路的类型与等级</v>
      </c>
      <c r="R25" s="1576" t="s">
        <v>8</v>
      </c>
      <c r="S25" s="1577">
        <f>F25</f>
        <v>100</v>
      </c>
      <c r="T25" s="1576" t="s">
        <v>8</v>
      </c>
      <c r="U25" s="1577">
        <f>H25</f>
        <v>100</v>
      </c>
      <c r="V25" s="1576" t="s">
        <v>8</v>
      </c>
      <c r="W25" s="1577">
        <f>J25</f>
        <v>100</v>
      </c>
      <c r="X25" s="1570"/>
      <c r="Y25" s="3395"/>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1"/>
      <c r="L26" s="2146"/>
      <c r="M26" s="2138"/>
      <c r="N26" s="2138"/>
      <c r="O26" s="2138"/>
      <c r="P26" s="3395"/>
      <c r="Q26" s="1575"/>
      <c r="R26" s="1576"/>
      <c r="S26" s="1577"/>
      <c r="T26" s="1576"/>
      <c r="U26" s="1577"/>
      <c r="V26" s="1576"/>
      <c r="W26" s="1577"/>
      <c r="X26" s="1570"/>
      <c r="Y26" s="3395"/>
      <c r="Z26" s="1578"/>
      <c r="AA26" s="1579">
        <v>1</v>
      </c>
      <c r="AB26" s="1579">
        <v>1</v>
      </c>
      <c r="AC26" s="1579">
        <v>1</v>
      </c>
    </row>
    <row r="27" spans="1:29" ht="15">
      <c r="A27" s="534"/>
      <c r="B27" s="568" t="s">
        <v>762</v>
      </c>
      <c r="C27" s="582"/>
      <c r="D27" s="542">
        <v>100</v>
      </c>
      <c r="E27" s="585"/>
      <c r="F27" s="542">
        <f>SUMIF(89:89,E27,90:90)-SUMIF(89:89,C27,90:90)+100</f>
        <v>100</v>
      </c>
      <c r="G27" s="582"/>
      <c r="H27" s="542">
        <f>SUMIF(89:89,G27,90:90)-SUMIF(89:89,C27,90:90)+100</f>
        <v>100</v>
      </c>
      <c r="I27" s="585"/>
      <c r="J27" s="542">
        <f>SUMIF(89:89,I27,90:90)-SUMIF(89:89,C27,90:90)+100</f>
        <v>100</v>
      </c>
      <c r="K27" s="586"/>
      <c r="L27" s="2146"/>
      <c r="M27" s="2138"/>
      <c r="N27" s="2138"/>
      <c r="O27" s="2138"/>
      <c r="P27" s="3395"/>
      <c r="Q27" s="1575" t="str">
        <f t="shared" ref="Q27:Q47" si="11">B27</f>
        <v>楼层</v>
      </c>
      <c r="R27" s="1576" t="s">
        <v>8</v>
      </c>
      <c r="S27" s="1577">
        <f>F27</f>
        <v>100</v>
      </c>
      <c r="T27" s="1576" t="s">
        <v>8</v>
      </c>
      <c r="U27" s="1577">
        <f>H27</f>
        <v>100</v>
      </c>
      <c r="V27" s="1576" t="s">
        <v>8</v>
      </c>
      <c r="W27" s="1577">
        <f>J27</f>
        <v>100</v>
      </c>
      <c r="X27" s="1570"/>
      <c r="Y27" s="3395"/>
      <c r="Z27" s="1578" t="str">
        <f>Q27</f>
        <v>楼层</v>
      </c>
      <c r="AA27" s="1579">
        <f t="shared" si="3"/>
        <v>1</v>
      </c>
      <c r="AB27" s="1579">
        <f t="shared" si="4"/>
        <v>1</v>
      </c>
      <c r="AC27" s="1579">
        <f t="shared" si="5"/>
        <v>1</v>
      </c>
    </row>
    <row r="28" spans="1:29" s="1222" customFormat="1" ht="15">
      <c r="A28" s="538"/>
      <c r="B28" s="562" t="s">
        <v>780</v>
      </c>
      <c r="C28" s="915"/>
      <c r="D28" s="877">
        <v>100</v>
      </c>
      <c r="E28" s="903"/>
      <c r="F28" s="877">
        <f>SUMIF(91:91,E28,92:92)-SUMIF(91:91,C28,92:92)+100</f>
        <v>100</v>
      </c>
      <c r="G28" s="915"/>
      <c r="H28" s="877">
        <f>SUMIF(91:91,G28,92:92)-SUMIF(91:91,C28,92:92)+100</f>
        <v>100</v>
      </c>
      <c r="I28" s="903"/>
      <c r="J28" s="877">
        <f>SUMIF(91:91,I28,92:92)-SUMIF(91:91,C28,92:92)+100</f>
        <v>100</v>
      </c>
      <c r="K28" s="586"/>
      <c r="L28" s="2139"/>
      <c r="M28" s="2140"/>
      <c r="N28" s="2140"/>
      <c r="O28" s="2140"/>
      <c r="P28" s="3395"/>
      <c r="Q28" s="1153" t="str">
        <f t="shared" si="11"/>
        <v>朝向</v>
      </c>
      <c r="R28" s="1571" t="s">
        <v>8</v>
      </c>
      <c r="S28" s="1572">
        <f>F28</f>
        <v>100</v>
      </c>
      <c r="T28" s="1571" t="s">
        <v>8</v>
      </c>
      <c r="U28" s="1572">
        <f>H28</f>
        <v>100</v>
      </c>
      <c r="V28" s="1571" t="s">
        <v>8</v>
      </c>
      <c r="W28" s="1572">
        <f>J28</f>
        <v>100</v>
      </c>
      <c r="X28" s="1573"/>
      <c r="Y28" s="3395"/>
      <c r="Z28" s="1152" t="str">
        <f>Q28</f>
        <v>朝向</v>
      </c>
      <c r="AA28" s="1579">
        <f>D28/F28</f>
        <v>1</v>
      </c>
      <c r="AB28" s="1579">
        <f>D28/H28</f>
        <v>1</v>
      </c>
      <c r="AC28" s="1579">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6"/>
      <c r="M29" s="2138"/>
      <c r="N29" s="2138"/>
      <c r="O29" s="2138"/>
      <c r="P29" s="3395"/>
      <c r="Q29" s="1575">
        <f t="shared" si="11"/>
        <v>111</v>
      </c>
      <c r="R29" s="1576" t="s">
        <v>8</v>
      </c>
      <c r="S29" s="1577">
        <f t="shared" ref="S29:S47" si="12">F29</f>
        <v>100</v>
      </c>
      <c r="T29" s="1576" t="s">
        <v>8</v>
      </c>
      <c r="U29" s="1577">
        <f t="shared" ref="U29:U47" si="13">H29</f>
        <v>100</v>
      </c>
      <c r="V29" s="1576" t="s">
        <v>8</v>
      </c>
      <c r="W29" s="1577">
        <f t="shared" ref="W29:W47" si="14">J29</f>
        <v>100</v>
      </c>
      <c r="X29" s="1570"/>
      <c r="Y29" s="3395"/>
      <c r="Z29" s="1578">
        <f t="shared" ref="Z29:Z47" si="15">Q29</f>
        <v>111</v>
      </c>
      <c r="AA29" s="1579">
        <f t="shared" si="3"/>
        <v>1</v>
      </c>
      <c r="AB29" s="1579">
        <f t="shared" si="4"/>
        <v>1</v>
      </c>
      <c r="AC29" s="1579">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6"/>
      <c r="M30" s="2138"/>
      <c r="N30" s="2138"/>
      <c r="O30" s="2138"/>
      <c r="P30" s="3395"/>
      <c r="Q30" s="1575">
        <f t="shared" si="11"/>
        <v>111</v>
      </c>
      <c r="R30" s="1576" t="s">
        <v>8</v>
      </c>
      <c r="S30" s="1577">
        <f t="shared" si="12"/>
        <v>100</v>
      </c>
      <c r="T30" s="1576" t="s">
        <v>8</v>
      </c>
      <c r="U30" s="1577">
        <f t="shared" si="13"/>
        <v>100</v>
      </c>
      <c r="V30" s="1576" t="s">
        <v>8</v>
      </c>
      <c r="W30" s="1577">
        <f t="shared" si="14"/>
        <v>100</v>
      </c>
      <c r="X30" s="1570"/>
      <c r="Y30" s="3395"/>
      <c r="Z30" s="1578">
        <f t="shared" si="15"/>
        <v>111</v>
      </c>
      <c r="AA30" s="1579">
        <f t="shared" si="3"/>
        <v>1</v>
      </c>
      <c r="AB30" s="1579">
        <f t="shared" si="4"/>
        <v>1</v>
      </c>
      <c r="AC30" s="1579">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6"/>
      <c r="M31" s="2138"/>
      <c r="N31" s="2138"/>
      <c r="O31" s="2138"/>
      <c r="P31" s="3395"/>
      <c r="Q31" s="1575">
        <f t="shared" si="11"/>
        <v>111</v>
      </c>
      <c r="R31" s="1576" t="s">
        <v>8</v>
      </c>
      <c r="S31" s="1577">
        <f t="shared" si="12"/>
        <v>100</v>
      </c>
      <c r="T31" s="1576" t="s">
        <v>8</v>
      </c>
      <c r="U31" s="1577">
        <f t="shared" si="13"/>
        <v>100</v>
      </c>
      <c r="V31" s="1576" t="s">
        <v>8</v>
      </c>
      <c r="W31" s="1577">
        <f t="shared" si="14"/>
        <v>100</v>
      </c>
      <c r="X31" s="1570"/>
      <c r="Y31" s="3395"/>
      <c r="Z31" s="1578">
        <f t="shared" si="15"/>
        <v>111</v>
      </c>
      <c r="AA31" s="1579">
        <f t="shared" si="3"/>
        <v>1</v>
      </c>
      <c r="AB31" s="1579">
        <f t="shared" si="4"/>
        <v>1</v>
      </c>
      <c r="AC31" s="1579">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6"/>
      <c r="M32" s="2138"/>
      <c r="N32" s="2138"/>
      <c r="O32" s="2138"/>
      <c r="P32" s="3395"/>
      <c r="Q32" s="1575">
        <f t="shared" si="11"/>
        <v>111</v>
      </c>
      <c r="R32" s="1576" t="s">
        <v>8</v>
      </c>
      <c r="S32" s="1577">
        <f t="shared" si="12"/>
        <v>100</v>
      </c>
      <c r="T32" s="1576" t="s">
        <v>8</v>
      </c>
      <c r="U32" s="1577">
        <f t="shared" si="13"/>
        <v>100</v>
      </c>
      <c r="V32" s="1576" t="s">
        <v>8</v>
      </c>
      <c r="W32" s="1577">
        <f t="shared" si="14"/>
        <v>100</v>
      </c>
      <c r="X32" s="1570"/>
      <c r="Y32" s="3395"/>
      <c r="Z32" s="1578">
        <f t="shared" si="15"/>
        <v>111</v>
      </c>
      <c r="AA32" s="1579">
        <f t="shared" si="3"/>
        <v>1</v>
      </c>
      <c r="AB32" s="1579">
        <f t="shared" si="4"/>
        <v>1</v>
      </c>
      <c r="AC32" s="1579">
        <f t="shared" si="5"/>
        <v>1</v>
      </c>
    </row>
    <row r="33" spans="1:29" ht="15">
      <c r="A33" s="2937" t="s">
        <v>2761</v>
      </c>
      <c r="B33" s="172" t="s">
        <v>781</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6"/>
      <c r="M33" s="2138"/>
      <c r="N33" s="2138"/>
      <c r="O33" s="2138"/>
      <c r="P33" s="3396" t="s">
        <v>551</v>
      </c>
      <c r="Q33" s="1575" t="str">
        <f t="shared" si="11"/>
        <v>建筑类型</v>
      </c>
      <c r="R33" s="1576" t="s">
        <v>8</v>
      </c>
      <c r="S33" s="1577">
        <f t="shared" si="12"/>
        <v>100</v>
      </c>
      <c r="T33" s="1576" t="s">
        <v>8</v>
      </c>
      <c r="U33" s="1577">
        <f t="shared" si="13"/>
        <v>100</v>
      </c>
      <c r="V33" s="1576" t="s">
        <v>8</v>
      </c>
      <c r="W33" s="1577">
        <f t="shared" si="14"/>
        <v>100</v>
      </c>
      <c r="X33" s="1570"/>
      <c r="Y33" s="3397" t="s">
        <v>551</v>
      </c>
      <c r="Z33" s="1578" t="str">
        <f t="shared" si="15"/>
        <v>建筑类型</v>
      </c>
      <c r="AA33" s="1579">
        <f t="shared" si="3"/>
        <v>1</v>
      </c>
      <c r="AB33" s="1579">
        <f t="shared" si="4"/>
        <v>1</v>
      </c>
      <c r="AC33" s="1579">
        <f t="shared" si="5"/>
        <v>1</v>
      </c>
    </row>
    <row r="34" spans="1:29" s="1341" customFormat="1" ht="15">
      <c r="A34" s="605"/>
      <c r="B34" s="529" t="s">
        <v>727</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4"/>
      <c r="M34" s="2175"/>
      <c r="N34" s="2175"/>
      <c r="O34" s="2175"/>
      <c r="P34" s="3397"/>
      <c r="Q34" s="1608" t="str">
        <f t="shared" si="11"/>
        <v>项目建筑规模</v>
      </c>
      <c r="R34" s="1580" t="s">
        <v>8</v>
      </c>
      <c r="S34" s="1581" t="e">
        <f t="shared" si="12"/>
        <v>#N/A</v>
      </c>
      <c r="T34" s="1580" t="s">
        <v>8</v>
      </c>
      <c r="U34" s="1581" t="e">
        <f t="shared" si="13"/>
        <v>#N/A</v>
      </c>
      <c r="V34" s="1580" t="s">
        <v>8</v>
      </c>
      <c r="W34" s="1581" t="e">
        <f t="shared" si="14"/>
        <v>#N/A</v>
      </c>
      <c r="X34" s="1582"/>
      <c r="Y34" s="3397"/>
      <c r="Z34" s="1583" t="str">
        <f t="shared" si="15"/>
        <v>项目建筑规模</v>
      </c>
      <c r="AA34" s="1579" t="e">
        <f t="shared" si="3"/>
        <v>#N/A</v>
      </c>
      <c r="AB34" s="1579" t="e">
        <f t="shared" si="4"/>
        <v>#N/A</v>
      </c>
      <c r="AC34" s="1579" t="e">
        <f t="shared" si="5"/>
        <v>#N/A</v>
      </c>
    </row>
    <row r="35" spans="1:29" ht="15">
      <c r="A35" s="596"/>
      <c r="B35" s="529" t="s">
        <v>728</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6"/>
      <c r="M35" s="2138"/>
      <c r="N35" s="2138"/>
      <c r="O35" s="2138"/>
      <c r="P35" s="3397"/>
      <c r="Q35" s="1575" t="str">
        <f t="shared" si="11"/>
        <v>建筑结构</v>
      </c>
      <c r="R35" s="1576" t="s">
        <v>8</v>
      </c>
      <c r="S35" s="1577">
        <f t="shared" si="12"/>
        <v>100</v>
      </c>
      <c r="T35" s="1576" t="s">
        <v>8</v>
      </c>
      <c r="U35" s="1577">
        <f t="shared" si="13"/>
        <v>100</v>
      </c>
      <c r="V35" s="1576" t="s">
        <v>8</v>
      </c>
      <c r="W35" s="1577">
        <f t="shared" si="14"/>
        <v>100</v>
      </c>
      <c r="X35" s="1570"/>
      <c r="Y35" s="3397"/>
      <c r="Z35" s="1578" t="str">
        <f t="shared" si="15"/>
        <v>建筑结构</v>
      </c>
      <c r="AA35" s="1579">
        <f t="shared" si="3"/>
        <v>1</v>
      </c>
      <c r="AB35" s="1579">
        <f t="shared" si="4"/>
        <v>1</v>
      </c>
      <c r="AC35" s="1579">
        <f t="shared" si="5"/>
        <v>1</v>
      </c>
    </row>
    <row r="36" spans="1:29" ht="15">
      <c r="A36" s="596"/>
      <c r="B36" s="529" t="s">
        <v>764</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6"/>
      <c r="M36" s="2138"/>
      <c r="N36" s="2138"/>
      <c r="O36" s="2138"/>
      <c r="P36" s="3397"/>
      <c r="Q36" s="1575" t="str">
        <f t="shared" si="11"/>
        <v>公共部分装修</v>
      </c>
      <c r="R36" s="1576" t="s">
        <v>8</v>
      </c>
      <c r="S36" s="1577">
        <f t="shared" si="12"/>
        <v>100</v>
      </c>
      <c r="T36" s="1576" t="s">
        <v>8</v>
      </c>
      <c r="U36" s="1577">
        <f t="shared" si="13"/>
        <v>100</v>
      </c>
      <c r="V36" s="1576" t="s">
        <v>8</v>
      </c>
      <c r="W36" s="1577">
        <f t="shared" si="14"/>
        <v>100</v>
      </c>
      <c r="X36" s="1570"/>
      <c r="Y36" s="3397"/>
      <c r="Z36" s="1578" t="str">
        <f t="shared" si="15"/>
        <v>公共部分装修</v>
      </c>
      <c r="AA36" s="1579">
        <f t="shared" si="3"/>
        <v>1</v>
      </c>
      <c r="AB36" s="1579">
        <f t="shared" si="4"/>
        <v>1</v>
      </c>
      <c r="AC36" s="1579">
        <f t="shared" si="5"/>
        <v>1</v>
      </c>
    </row>
    <row r="37" spans="1:29" ht="15">
      <c r="A37" s="596"/>
      <c r="B37" s="529" t="s">
        <v>765</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6"/>
      <c r="M37" s="2138"/>
      <c r="N37" s="2138"/>
      <c r="O37" s="2138"/>
      <c r="P37" s="3397"/>
      <c r="Q37" s="1575" t="str">
        <f t="shared" si="11"/>
        <v>成新度</v>
      </c>
      <c r="R37" s="1576" t="s">
        <v>8</v>
      </c>
      <c r="S37" s="1577" t="e">
        <f t="shared" si="12"/>
        <v>#N/A</v>
      </c>
      <c r="T37" s="1576" t="s">
        <v>8</v>
      </c>
      <c r="U37" s="1577" t="e">
        <f t="shared" si="13"/>
        <v>#N/A</v>
      </c>
      <c r="V37" s="1576" t="s">
        <v>8</v>
      </c>
      <c r="W37" s="1577" t="e">
        <f t="shared" si="14"/>
        <v>#N/A</v>
      </c>
      <c r="X37" s="1570"/>
      <c r="Y37" s="3397"/>
      <c r="Z37" s="1578" t="str">
        <f t="shared" si="15"/>
        <v>成新度</v>
      </c>
      <c r="AA37" s="1579" t="e">
        <f t="shared" si="3"/>
        <v>#N/A</v>
      </c>
      <c r="AB37" s="1579" t="e">
        <f t="shared" si="4"/>
        <v>#N/A</v>
      </c>
      <c r="AC37" s="1579" t="e">
        <f t="shared" si="5"/>
        <v>#N/A</v>
      </c>
    </row>
    <row r="38" spans="1:29" s="1222" customFormat="1" ht="15">
      <c r="A38" s="602"/>
      <c r="B38" s="529" t="s">
        <v>782</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9"/>
      <c r="M38" s="2140"/>
      <c r="N38" s="2140"/>
      <c r="O38" s="2140"/>
      <c r="P38" s="3397"/>
      <c r="Q38" s="1153" t="str">
        <f t="shared" si="11"/>
        <v>写字楼等级</v>
      </c>
      <c r="R38" s="1571" t="s">
        <v>8</v>
      </c>
      <c r="S38" s="1572">
        <f t="shared" si="12"/>
        <v>100</v>
      </c>
      <c r="T38" s="1571" t="s">
        <v>8</v>
      </c>
      <c r="U38" s="1572">
        <f t="shared" si="13"/>
        <v>100</v>
      </c>
      <c r="V38" s="1571" t="s">
        <v>8</v>
      </c>
      <c r="W38" s="1572">
        <f t="shared" si="14"/>
        <v>100</v>
      </c>
      <c r="X38" s="1573"/>
      <c r="Y38" s="3397"/>
      <c r="Z38" s="1152" t="str">
        <f t="shared" si="15"/>
        <v>写字楼等级</v>
      </c>
      <c r="AA38" s="1574">
        <f t="shared" si="3"/>
        <v>1</v>
      </c>
      <c r="AB38" s="1574">
        <f t="shared" si="4"/>
        <v>1</v>
      </c>
      <c r="AC38" s="1574">
        <f t="shared" si="5"/>
        <v>1</v>
      </c>
    </row>
    <row r="39" spans="1:29" ht="15">
      <c r="A39" s="596"/>
      <c r="B39" s="529" t="s">
        <v>783</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6"/>
      <c r="M39" s="2138"/>
      <c r="N39" s="2138"/>
      <c r="O39" s="2138"/>
      <c r="P39" s="3397" t="s">
        <v>551</v>
      </c>
      <c r="Q39" s="1575" t="str">
        <f t="shared" si="11"/>
        <v>物业管理</v>
      </c>
      <c r="R39" s="1576" t="s">
        <v>8</v>
      </c>
      <c r="S39" s="1577">
        <f t="shared" si="12"/>
        <v>100</v>
      </c>
      <c r="T39" s="1576" t="s">
        <v>8</v>
      </c>
      <c r="U39" s="1577">
        <f t="shared" si="13"/>
        <v>100</v>
      </c>
      <c r="V39" s="1576" t="s">
        <v>8</v>
      </c>
      <c r="W39" s="1577">
        <f t="shared" si="14"/>
        <v>100</v>
      </c>
      <c r="X39" s="1570"/>
      <c r="Y39" s="3397" t="s">
        <v>551</v>
      </c>
      <c r="Z39" s="1578" t="str">
        <f t="shared" si="15"/>
        <v>物业管理</v>
      </c>
      <c r="AA39" s="1579">
        <f t="shared" si="3"/>
        <v>1</v>
      </c>
      <c r="AB39" s="1579">
        <f t="shared" si="4"/>
        <v>1</v>
      </c>
      <c r="AC39" s="1579">
        <f t="shared" si="5"/>
        <v>1</v>
      </c>
    </row>
    <row r="40" spans="1:29" ht="15">
      <c r="A40" s="596"/>
      <c r="B40" s="1899" t="s">
        <v>2569</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6"/>
      <c r="M40" s="2138"/>
      <c r="N40" s="2138"/>
      <c r="O40" s="2138"/>
      <c r="P40" s="3397"/>
      <c r="Q40" s="1575" t="str">
        <f t="shared" si="11"/>
        <v>市政基础设施</v>
      </c>
      <c r="R40" s="1576" t="s">
        <v>8</v>
      </c>
      <c r="S40" s="1577">
        <f t="shared" si="12"/>
        <v>100</v>
      </c>
      <c r="T40" s="1576" t="s">
        <v>8</v>
      </c>
      <c r="U40" s="1577">
        <f t="shared" si="13"/>
        <v>100</v>
      </c>
      <c r="V40" s="1576" t="s">
        <v>8</v>
      </c>
      <c r="W40" s="1577">
        <f t="shared" si="14"/>
        <v>100</v>
      </c>
      <c r="X40" s="1570"/>
      <c r="Y40" s="3397"/>
      <c r="Z40" s="1578" t="str">
        <f t="shared" si="15"/>
        <v>市政基础设施</v>
      </c>
      <c r="AA40" s="1579">
        <f t="shared" si="3"/>
        <v>1</v>
      </c>
      <c r="AB40" s="1579">
        <f t="shared" si="4"/>
        <v>1</v>
      </c>
      <c r="AC40" s="1579">
        <f t="shared" si="5"/>
        <v>1</v>
      </c>
    </row>
    <row r="41" spans="1:29" ht="15">
      <c r="A41" s="596"/>
      <c r="B41" s="529" t="s">
        <v>768</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6"/>
      <c r="M41" s="2138"/>
      <c r="N41" s="2138"/>
      <c r="O41" s="2138"/>
      <c r="P41" s="3397"/>
      <c r="Q41" s="1575" t="str">
        <f t="shared" si="11"/>
        <v>层高</v>
      </c>
      <c r="R41" s="1576" t="s">
        <v>8</v>
      </c>
      <c r="S41" s="1577">
        <f t="shared" si="12"/>
        <v>100</v>
      </c>
      <c r="T41" s="1576" t="s">
        <v>8</v>
      </c>
      <c r="U41" s="1577">
        <f t="shared" si="13"/>
        <v>100</v>
      </c>
      <c r="V41" s="1576" t="s">
        <v>8</v>
      </c>
      <c r="W41" s="1577">
        <f t="shared" si="14"/>
        <v>100</v>
      </c>
      <c r="X41" s="1570"/>
      <c r="Y41" s="3397"/>
      <c r="Z41" s="1578" t="str">
        <f t="shared" si="15"/>
        <v>层高</v>
      </c>
      <c r="AA41" s="1579">
        <f t="shared" si="3"/>
        <v>1</v>
      </c>
      <c r="AB41" s="1579">
        <f t="shared" si="4"/>
        <v>1</v>
      </c>
      <c r="AC41" s="1579">
        <f t="shared" si="5"/>
        <v>1</v>
      </c>
    </row>
    <row r="42" spans="1:29" s="1341" customFormat="1" ht="15">
      <c r="A42" s="605"/>
      <c r="B42" s="906" t="s">
        <v>784</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4"/>
      <c r="M42" s="2175"/>
      <c r="N42" s="2175"/>
      <c r="O42" s="2175"/>
      <c r="P42" s="3397"/>
      <c r="Q42" s="1608" t="str">
        <f t="shared" si="11"/>
        <v>单套建筑面积</v>
      </c>
      <c r="R42" s="1580" t="s">
        <v>8</v>
      </c>
      <c r="S42" s="1581">
        <f t="shared" si="12"/>
        <v>100</v>
      </c>
      <c r="T42" s="1580" t="s">
        <v>8</v>
      </c>
      <c r="U42" s="1581">
        <f t="shared" si="13"/>
        <v>100</v>
      </c>
      <c r="V42" s="1580" t="s">
        <v>8</v>
      </c>
      <c r="W42" s="1581">
        <f t="shared" si="14"/>
        <v>100</v>
      </c>
      <c r="X42" s="1582"/>
      <c r="Y42" s="3397"/>
      <c r="Z42" s="1583" t="str">
        <f t="shared" si="15"/>
        <v>单套建筑面积</v>
      </c>
      <c r="AA42" s="1579">
        <f t="shared" si="3"/>
        <v>1</v>
      </c>
      <c r="AB42" s="1579">
        <f t="shared" si="4"/>
        <v>1</v>
      </c>
      <c r="AC42" s="1579">
        <f t="shared" si="5"/>
        <v>1</v>
      </c>
    </row>
    <row r="43" spans="1:29" ht="15">
      <c r="A43" s="596"/>
      <c r="B43" s="529" t="s">
        <v>771</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6"/>
      <c r="M43" s="2138"/>
      <c r="N43" s="2138"/>
      <c r="O43" s="2138"/>
      <c r="P43" s="3397"/>
      <c r="Q43" s="1575" t="str">
        <f t="shared" si="11"/>
        <v>内部装修</v>
      </c>
      <c r="R43" s="1576" t="s">
        <v>8</v>
      </c>
      <c r="S43" s="1577">
        <f t="shared" si="12"/>
        <v>100</v>
      </c>
      <c r="T43" s="1576" t="s">
        <v>8</v>
      </c>
      <c r="U43" s="1577">
        <f t="shared" si="13"/>
        <v>100</v>
      </c>
      <c r="V43" s="1576" t="s">
        <v>8</v>
      </c>
      <c r="W43" s="1577">
        <f t="shared" si="14"/>
        <v>100</v>
      </c>
      <c r="X43" s="1570"/>
      <c r="Y43" s="3397"/>
      <c r="Z43" s="1578" t="str">
        <f t="shared" si="15"/>
        <v>内部装修</v>
      </c>
      <c r="AA43" s="1579">
        <f t="shared" si="3"/>
        <v>1</v>
      </c>
      <c r="AB43" s="1579">
        <f t="shared" si="4"/>
        <v>1</v>
      </c>
      <c r="AC43" s="1579">
        <f t="shared" si="5"/>
        <v>1</v>
      </c>
    </row>
    <row r="44" spans="1:29" ht="27">
      <c r="A44" s="596"/>
      <c r="B44" s="529" t="s">
        <v>736</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6"/>
      <c r="M44" s="2138"/>
      <c r="N44" s="2138"/>
      <c r="O44" s="2138"/>
      <c r="P44" s="3397"/>
      <c r="Q44" s="1575" t="str">
        <f t="shared" si="11"/>
        <v>内部装修维护情况</v>
      </c>
      <c r="R44" s="1576" t="s">
        <v>8</v>
      </c>
      <c r="S44" s="1577">
        <f t="shared" si="12"/>
        <v>100</v>
      </c>
      <c r="T44" s="1576" t="s">
        <v>8</v>
      </c>
      <c r="U44" s="1577">
        <f t="shared" si="13"/>
        <v>100</v>
      </c>
      <c r="V44" s="1576" t="s">
        <v>8</v>
      </c>
      <c r="W44" s="1577">
        <f t="shared" si="14"/>
        <v>100</v>
      </c>
      <c r="X44" s="1570"/>
      <c r="Y44" s="3397"/>
      <c r="Z44" s="1578" t="str">
        <f t="shared" si="15"/>
        <v>内部装修维护情况</v>
      </c>
      <c r="AA44" s="1579">
        <f t="shared" si="3"/>
        <v>1</v>
      </c>
      <c r="AB44" s="1579">
        <f t="shared" si="4"/>
        <v>1</v>
      </c>
      <c r="AC44" s="1579">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9"/>
      <c r="M45" s="2140"/>
      <c r="N45" s="2140"/>
      <c r="O45" s="2140"/>
      <c r="P45" s="3397"/>
      <c r="Q45" s="1153">
        <f t="shared" si="11"/>
        <v>111</v>
      </c>
      <c r="R45" s="1571" t="s">
        <v>8</v>
      </c>
      <c r="S45" s="1572">
        <f t="shared" si="12"/>
        <v>100</v>
      </c>
      <c r="T45" s="1571" t="s">
        <v>8</v>
      </c>
      <c r="U45" s="1572">
        <f t="shared" si="13"/>
        <v>100</v>
      </c>
      <c r="V45" s="1571" t="s">
        <v>8</v>
      </c>
      <c r="W45" s="1572">
        <f t="shared" si="14"/>
        <v>100</v>
      </c>
      <c r="X45" s="1573"/>
      <c r="Y45" s="3397"/>
      <c r="Z45" s="1152">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6"/>
      <c r="M46" s="2138"/>
      <c r="N46" s="2138"/>
      <c r="O46" s="2138"/>
      <c r="P46" s="3397"/>
      <c r="Q46" s="1575">
        <f t="shared" si="11"/>
        <v>111</v>
      </c>
      <c r="R46" s="1576" t="s">
        <v>8</v>
      </c>
      <c r="S46" s="1577">
        <f t="shared" si="12"/>
        <v>100</v>
      </c>
      <c r="T46" s="1576" t="s">
        <v>8</v>
      </c>
      <c r="U46" s="1577">
        <f t="shared" si="13"/>
        <v>100</v>
      </c>
      <c r="V46" s="1576" t="s">
        <v>8</v>
      </c>
      <c r="W46" s="1577">
        <f t="shared" si="14"/>
        <v>100</v>
      </c>
      <c r="X46" s="1570"/>
      <c r="Y46" s="3397"/>
      <c r="Z46" s="1578">
        <f t="shared" si="15"/>
        <v>111</v>
      </c>
      <c r="AA46" s="1579">
        <f t="shared" si="3"/>
        <v>1</v>
      </c>
      <c r="AB46" s="1579">
        <f t="shared" si="4"/>
        <v>1</v>
      </c>
      <c r="AC46" s="1579">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6"/>
      <c r="M47" s="2138"/>
      <c r="N47" s="2138"/>
      <c r="O47" s="2138"/>
      <c r="P47" s="3474"/>
      <c r="Q47" s="1575">
        <f t="shared" si="11"/>
        <v>111</v>
      </c>
      <c r="R47" s="1576" t="s">
        <v>8</v>
      </c>
      <c r="S47" s="1577">
        <f t="shared" si="12"/>
        <v>100</v>
      </c>
      <c r="T47" s="1576" t="s">
        <v>8</v>
      </c>
      <c r="U47" s="1577">
        <f t="shared" si="13"/>
        <v>100</v>
      </c>
      <c r="V47" s="1576" t="s">
        <v>8</v>
      </c>
      <c r="W47" s="1577">
        <f t="shared" si="14"/>
        <v>100</v>
      </c>
      <c r="X47" s="1570"/>
      <c r="Y47" s="3474"/>
      <c r="Z47" s="1578">
        <f t="shared" si="15"/>
        <v>111</v>
      </c>
      <c r="AA47" s="1579">
        <f t="shared" si="3"/>
        <v>1</v>
      </c>
      <c r="AB47" s="1579">
        <f t="shared" si="4"/>
        <v>1</v>
      </c>
      <c r="AC47" s="1579">
        <f t="shared" si="5"/>
        <v>1</v>
      </c>
    </row>
    <row r="48" spans="1:29" ht="15">
      <c r="A48" s="609" t="s">
        <v>737</v>
      </c>
      <c r="B48" s="889"/>
      <c r="C48" s="2655" t="s">
        <v>1</v>
      </c>
      <c r="D48" s="2656"/>
      <c r="E48" s="2657"/>
      <c r="F48" s="2658"/>
      <c r="G48" s="2659"/>
      <c r="H48" s="2660"/>
      <c r="I48" s="2657"/>
      <c r="J48" s="2660"/>
      <c r="K48" s="1614"/>
      <c r="L48" s="2148"/>
      <c r="M48" s="2138"/>
      <c r="N48" s="2138"/>
      <c r="O48" s="2138"/>
      <c r="P48" s="3358" t="str">
        <f>A48</f>
        <v>成交单价（元/平方米）</v>
      </c>
      <c r="Q48" s="3360"/>
      <c r="R48" s="3473">
        <f>E48</f>
        <v>0</v>
      </c>
      <c r="S48" s="3473"/>
      <c r="T48" s="3473">
        <f>G48</f>
        <v>0</v>
      </c>
      <c r="U48" s="3473"/>
      <c r="V48" s="3473">
        <f>I48</f>
        <v>0</v>
      </c>
      <c r="W48" s="3473"/>
      <c r="X48" s="1562"/>
      <c r="Y48" s="1584"/>
      <c r="Z48" s="1562"/>
      <c r="AA48" s="1562"/>
      <c r="AB48" s="1562"/>
      <c r="AC48" s="1562"/>
    </row>
    <row r="49" spans="1:29" ht="15.75" thickBot="1">
      <c r="A49" s="617" t="s">
        <v>2766</v>
      </c>
      <c r="B49" s="890"/>
      <c r="C49" s="2661" t="e">
        <f>R50</f>
        <v>#DIV/0!</v>
      </c>
      <c r="D49" s="2662"/>
      <c r="E49" s="2663" t="e">
        <f>R49</f>
        <v>#DIV/0!</v>
      </c>
      <c r="F49" s="2663"/>
      <c r="G49" s="2661" t="e">
        <f>T49</f>
        <v>#DIV/0!</v>
      </c>
      <c r="H49" s="2662"/>
      <c r="I49" s="2663" t="e">
        <f>V49</f>
        <v>#DIV/0!</v>
      </c>
      <c r="J49" s="2662"/>
      <c r="K49" s="1615"/>
      <c r="L49" s="2148"/>
      <c r="M49" s="2138"/>
      <c r="N49" s="2138"/>
      <c r="O49" s="2138"/>
      <c r="P49" s="3358" t="str">
        <f>A49</f>
        <v>比较价格（元/平方米）</v>
      </c>
      <c r="Q49" s="3360"/>
      <c r="R49" s="3473" t="e">
        <f>IF(F1="售价",ROUND(PRODUCT(R48,AA7:AA47),0),ROUND(PRODUCT(R48,AA7:AA47),1))</f>
        <v>#DIV/0!</v>
      </c>
      <c r="S49" s="3473"/>
      <c r="T49" s="3473" t="e">
        <f>IF(F1="售价",ROUND(PRODUCT(T48,AB7:AB47),0),ROUND(PRODUCT(T48,AB7:AB47),1))</f>
        <v>#DIV/0!</v>
      </c>
      <c r="U49" s="3473"/>
      <c r="V49" s="3473" t="e">
        <f>IF(F1="售价",ROUND(PRODUCT(V48,AC7:AC47),0),ROUND(PRODUCT(V48,AC7:AC47),1))</f>
        <v>#DIV/0!</v>
      </c>
      <c r="W49" s="3473"/>
      <c r="X49" s="1562"/>
      <c r="Y49" s="1562"/>
      <c r="Z49" s="1562"/>
      <c r="AA49" s="1562"/>
      <c r="AB49" s="1562"/>
      <c r="AC49" s="1562"/>
    </row>
    <row r="50" spans="1:29" ht="15.75" thickBot="1">
      <c r="A50" s="623" t="s">
        <v>2942</v>
      </c>
      <c r="B50" s="624"/>
      <c r="C50" s="2664" t="e">
        <f>R50</f>
        <v>#DIV/0!</v>
      </c>
      <c r="D50" s="2664"/>
      <c r="E50" s="2664"/>
      <c r="F50" s="2664"/>
      <c r="G50" s="2664"/>
      <c r="H50" s="2664"/>
      <c r="I50" s="2664"/>
      <c r="J50" s="2664"/>
      <c r="K50" s="1616"/>
      <c r="L50" s="2148"/>
      <c r="M50" s="2138"/>
      <c r="N50" s="2138"/>
      <c r="O50" s="2138"/>
      <c r="P50" s="3475" t="str">
        <f>A50</f>
        <v>估价对象XX用房的比较价格（楼面单价，元/平方米）</v>
      </c>
      <c r="Q50" s="3358"/>
      <c r="R50" s="3472" t="e">
        <f>IF(F1="售价",ROUND(AVERAGE(R49:V49),0),ROUND(AVERAGE(R49:V49),1))</f>
        <v>#DIV/0!</v>
      </c>
      <c r="S50" s="3472"/>
      <c r="T50" s="3472"/>
      <c r="U50" s="3472"/>
      <c r="V50" s="3472"/>
      <c r="W50" s="3472"/>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7"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49" customFormat="1" ht="15">
      <c r="A59" s="647" t="s">
        <v>530</v>
      </c>
      <c r="B59" s="648"/>
      <c r="C59" s="2832" t="str">
        <f>YEAR(C7)&amp;"-"&amp;MONTH(C7)</f>
        <v>2017-10</v>
      </c>
      <c r="D59" s="2834">
        <f>EDATE(C59,-1)</f>
        <v>42979</v>
      </c>
      <c r="E59" s="2834">
        <f t="shared" ref="E59:O59" si="16">EDATE(D59,-1)</f>
        <v>42948</v>
      </c>
      <c r="F59" s="2834">
        <f t="shared" si="16"/>
        <v>42917</v>
      </c>
      <c r="G59" s="2834">
        <f t="shared" si="16"/>
        <v>42887</v>
      </c>
      <c r="H59" s="2834">
        <f t="shared" si="16"/>
        <v>42856</v>
      </c>
      <c r="I59" s="2834">
        <f t="shared" si="16"/>
        <v>42826</v>
      </c>
      <c r="J59" s="2834">
        <f t="shared" si="16"/>
        <v>42795</v>
      </c>
      <c r="K59" s="2834">
        <f t="shared" si="16"/>
        <v>42767</v>
      </c>
      <c r="L59" s="2834">
        <f t="shared" si="16"/>
        <v>42736</v>
      </c>
      <c r="M59" s="2834">
        <f t="shared" si="16"/>
        <v>42705</v>
      </c>
      <c r="N59" s="2834">
        <f t="shared" si="16"/>
        <v>42675</v>
      </c>
      <c r="O59" s="2834">
        <f t="shared" si="16"/>
        <v>42644</v>
      </c>
      <c r="P59" s="2215"/>
      <c r="Q59" s="2165"/>
      <c r="R59" s="2165"/>
      <c r="S59" s="2165"/>
      <c r="T59" s="2165"/>
      <c r="U59" s="2165"/>
      <c r="V59" s="2165"/>
      <c r="W59" s="2165"/>
      <c r="X59" s="2165"/>
      <c r="Y59" s="2165"/>
      <c r="Z59" s="2165"/>
      <c r="AA59" s="2165"/>
      <c r="AB59" s="2165"/>
      <c r="AC59" s="2165"/>
    </row>
    <row r="60" spans="1:29" s="1222" customFormat="1" ht="15">
      <c r="A60" s="649"/>
      <c r="B60" s="650"/>
      <c r="C60" s="651">
        <v>100</v>
      </c>
      <c r="D60" s="652"/>
      <c r="E60" s="652"/>
      <c r="F60" s="652"/>
      <c r="G60" s="652"/>
      <c r="H60" s="652"/>
      <c r="I60" s="652"/>
      <c r="J60" s="652"/>
      <c r="K60" s="652"/>
      <c r="L60" s="652"/>
      <c r="M60" s="653"/>
      <c r="N60" s="652"/>
      <c r="O60" s="653"/>
      <c r="P60" s="2216"/>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16"/>
      <c r="Q61" s="2162"/>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66"/>
      <c r="O62" s="2166"/>
      <c r="P62" s="2217"/>
      <c r="Q62" s="2162"/>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66"/>
      <c r="O63" s="2166"/>
      <c r="P63" s="2216"/>
      <c r="Q63" s="2162"/>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68"/>
      <c r="O64" s="2168"/>
      <c r="P64" s="2218"/>
      <c r="Q64" s="2162"/>
      <c r="R64" s="2149"/>
      <c r="S64" s="2149"/>
      <c r="T64" s="2149"/>
      <c r="U64" s="2149"/>
      <c r="V64" s="2149"/>
      <c r="W64" s="2149"/>
      <c r="X64" s="2149"/>
      <c r="Y64" s="2149"/>
      <c r="Z64" s="2149"/>
      <c r="AA64" s="2149"/>
      <c r="AB64" s="2149"/>
      <c r="AC64" s="2149"/>
    </row>
    <row r="65" spans="1:29" ht="15.75" thickBot="1">
      <c r="A65" s="671"/>
      <c r="B65" s="672"/>
      <c r="C65" s="673"/>
      <c r="D65" s="673"/>
      <c r="E65" s="673"/>
      <c r="F65" s="673"/>
      <c r="G65" s="673"/>
      <c r="H65" s="673"/>
      <c r="I65" s="673"/>
      <c r="J65" s="673"/>
      <c r="K65" s="673"/>
      <c r="L65" s="673"/>
      <c r="M65" s="674"/>
      <c r="N65" s="2170"/>
      <c r="O65" s="2170"/>
      <c r="P65" s="2218"/>
      <c r="Q65" s="2162"/>
      <c r="R65" s="2149"/>
      <c r="S65" s="2149"/>
      <c r="T65" s="2149"/>
      <c r="U65" s="2149"/>
      <c r="V65" s="2149"/>
      <c r="W65" s="2149"/>
      <c r="X65" s="2149"/>
      <c r="Y65" s="2149"/>
      <c r="Z65" s="2149"/>
      <c r="AA65" s="2149"/>
      <c r="AB65" s="2149"/>
      <c r="AC65" s="2149"/>
    </row>
    <row r="66" spans="1:29" ht="27.75" thickTop="1">
      <c r="A66" s="671"/>
      <c r="B66" s="675" t="s">
        <v>538</v>
      </c>
      <c r="C66" s="676" t="s">
        <v>738</v>
      </c>
      <c r="D66" s="676" t="s">
        <v>739</v>
      </c>
      <c r="E66" s="676" t="s">
        <v>740</v>
      </c>
      <c r="F66" s="676" t="s">
        <v>741</v>
      </c>
      <c r="G66" s="676" t="s">
        <v>742</v>
      </c>
      <c r="H66" s="676" t="s">
        <v>743</v>
      </c>
      <c r="I66" s="676" t="s">
        <v>744</v>
      </c>
      <c r="J66" s="676"/>
      <c r="K66" s="677"/>
      <c r="L66" s="678"/>
      <c r="M66" s="679"/>
      <c r="N66" s="2168"/>
      <c r="O66" s="2168"/>
      <c r="P66" s="2218"/>
      <c r="Q66" s="2162"/>
      <c r="R66" s="2149"/>
      <c r="S66" s="2149"/>
      <c r="T66" s="2149"/>
      <c r="U66" s="2149"/>
      <c r="V66" s="2149"/>
      <c r="W66" s="2149"/>
      <c r="X66" s="2149"/>
      <c r="Y66" s="2149"/>
      <c r="Z66" s="2149"/>
      <c r="AA66" s="2149"/>
      <c r="AB66" s="2149"/>
      <c r="AC66" s="2149"/>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0"/>
      <c r="O67" s="2170"/>
      <c r="P67" s="2218"/>
      <c r="Q67" s="2162"/>
      <c r="R67" s="2149"/>
      <c r="S67" s="2149"/>
      <c r="T67" s="2149"/>
      <c r="U67" s="2149"/>
      <c r="V67" s="2149"/>
      <c r="W67" s="2149"/>
      <c r="X67" s="2149"/>
      <c r="Y67" s="2149"/>
      <c r="Z67" s="2149"/>
      <c r="AA67" s="2149"/>
      <c r="AB67" s="2149"/>
      <c r="AC67" s="2149"/>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1"/>
      <c r="B69" s="685"/>
      <c r="C69" s="543"/>
      <c r="D69" s="543"/>
      <c r="E69" s="543"/>
      <c r="F69" s="543"/>
      <c r="G69" s="543"/>
      <c r="H69" s="543"/>
      <c r="I69" s="543"/>
      <c r="J69" s="543"/>
      <c r="K69" s="686"/>
      <c r="L69" s="687"/>
      <c r="M69" s="688"/>
      <c r="N69" s="2168"/>
      <c r="O69" s="2168"/>
      <c r="P69" s="2218"/>
      <c r="Q69" s="2162"/>
      <c r="R69" s="2149"/>
      <c r="S69" s="2149"/>
      <c r="T69" s="2149"/>
      <c r="U69" s="2149"/>
      <c r="V69" s="2149"/>
      <c r="W69" s="2149"/>
      <c r="X69" s="2149"/>
      <c r="Y69" s="2149"/>
      <c r="Z69" s="2149"/>
      <c r="AA69" s="2149"/>
      <c r="AB69" s="2149"/>
      <c r="AC69" s="2149"/>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0"/>
      <c r="O70" s="2170"/>
      <c r="P70" s="2218"/>
      <c r="Q70" s="2162"/>
      <c r="R70" s="2149"/>
      <c r="S70" s="2149"/>
      <c r="T70" s="2149"/>
      <c r="U70" s="2149"/>
      <c r="V70" s="2149"/>
      <c r="W70" s="2149"/>
      <c r="X70" s="2149"/>
      <c r="Y70" s="2149"/>
      <c r="Z70" s="2149"/>
      <c r="AA70" s="2149"/>
      <c r="AB70" s="2149"/>
      <c r="AC70" s="2149"/>
    </row>
    <row r="71" spans="1:29" s="1341" customFormat="1" ht="15.75" thickTop="1">
      <c r="A71" s="689"/>
      <c r="B71" s="675">
        <f>B12</f>
        <v>111</v>
      </c>
      <c r="C71" s="690"/>
      <c r="D71" s="690"/>
      <c r="E71" s="690"/>
      <c r="F71" s="690"/>
      <c r="G71" s="690"/>
      <c r="H71" s="691"/>
      <c r="I71" s="691"/>
      <c r="J71" s="691"/>
      <c r="K71" s="691"/>
      <c r="L71" s="692"/>
      <c r="M71" s="693"/>
      <c r="N71" s="2171"/>
      <c r="O71" s="2171"/>
      <c r="P71" s="2219"/>
      <c r="Q71" s="2173"/>
      <c r="R71" s="2174"/>
      <c r="S71" s="2174"/>
      <c r="T71" s="2174"/>
      <c r="U71" s="2174"/>
      <c r="V71" s="2174"/>
      <c r="W71" s="2174"/>
      <c r="X71" s="2174"/>
      <c r="Y71" s="2174"/>
      <c r="Z71" s="2174"/>
      <c r="AA71" s="2174"/>
      <c r="AB71" s="2174"/>
      <c r="AC71" s="2174"/>
    </row>
    <row r="72" spans="1:29" s="1341" customFormat="1" ht="15.75" thickBot="1">
      <c r="A72" s="689"/>
      <c r="B72" s="680"/>
      <c r="C72" s="694"/>
      <c r="D72" s="673"/>
      <c r="E72" s="673"/>
      <c r="F72" s="673"/>
      <c r="G72" s="673"/>
      <c r="H72" s="673"/>
      <c r="I72" s="673"/>
      <c r="J72" s="673"/>
      <c r="K72" s="673"/>
      <c r="L72" s="673"/>
      <c r="M72" s="674"/>
      <c r="N72" s="2170"/>
      <c r="O72" s="2170"/>
      <c r="P72" s="2219"/>
      <c r="Q72" s="2173"/>
      <c r="R72" s="2174"/>
      <c r="S72" s="2174"/>
      <c r="T72" s="2174"/>
      <c r="U72" s="2174"/>
      <c r="V72" s="2174"/>
      <c r="W72" s="2174"/>
      <c r="X72" s="2174"/>
      <c r="Y72" s="2174"/>
      <c r="Z72" s="2174"/>
      <c r="AA72" s="2174"/>
      <c r="AB72" s="2174"/>
      <c r="AC72" s="2174"/>
    </row>
    <row r="73" spans="1:29" s="1341" customFormat="1" ht="15.75" thickTop="1">
      <c r="A73" s="689"/>
      <c r="B73" s="675">
        <f>B13</f>
        <v>111</v>
      </c>
      <c r="C73" s="690"/>
      <c r="D73" s="690"/>
      <c r="E73" s="690"/>
      <c r="F73" s="690"/>
      <c r="G73" s="690"/>
      <c r="H73" s="691"/>
      <c r="I73" s="691"/>
      <c r="J73" s="691"/>
      <c r="K73" s="691"/>
      <c r="L73" s="692"/>
      <c r="M73" s="693"/>
      <c r="N73" s="2171"/>
      <c r="O73" s="2171"/>
      <c r="P73" s="2220"/>
      <c r="Q73" s="2176"/>
      <c r="R73" s="2174"/>
      <c r="S73" s="2174"/>
      <c r="T73" s="2174"/>
      <c r="U73" s="2174"/>
      <c r="V73" s="2174"/>
      <c r="W73" s="2174"/>
      <c r="X73" s="2174"/>
      <c r="Y73" s="2174"/>
      <c r="Z73" s="2174"/>
      <c r="AA73" s="2174"/>
      <c r="AB73" s="2174"/>
      <c r="AC73" s="2174"/>
    </row>
    <row r="74" spans="1:29" s="1341" customFormat="1" ht="15.75" thickBot="1">
      <c r="A74" s="689"/>
      <c r="B74" s="680"/>
      <c r="C74" s="694"/>
      <c r="D74" s="694"/>
      <c r="E74" s="694"/>
      <c r="F74" s="694"/>
      <c r="G74" s="694"/>
      <c r="H74" s="695"/>
      <c r="I74" s="695"/>
      <c r="J74" s="695"/>
      <c r="K74" s="695"/>
      <c r="L74" s="695"/>
      <c r="M74" s="696"/>
      <c r="N74" s="2171"/>
      <c r="O74" s="2171"/>
      <c r="P74" s="2219"/>
      <c r="Q74" s="2173"/>
      <c r="R74" s="2174"/>
      <c r="S74" s="2174"/>
      <c r="T74" s="2174"/>
      <c r="U74" s="2174"/>
      <c r="V74" s="2174"/>
      <c r="W74" s="2174"/>
      <c r="X74" s="2174"/>
      <c r="Y74" s="2174"/>
      <c r="Z74" s="2174"/>
      <c r="AA74" s="2174"/>
      <c r="AB74" s="2174"/>
      <c r="AC74" s="2174"/>
    </row>
    <row r="75" spans="1:29" s="1341" customFormat="1" ht="15.75" thickTop="1">
      <c r="A75" s="689"/>
      <c r="B75" s="683">
        <f>B14</f>
        <v>111</v>
      </c>
      <c r="C75" s="663"/>
      <c r="D75" s="663"/>
      <c r="E75" s="663"/>
      <c r="F75" s="663"/>
      <c r="G75" s="663"/>
      <c r="H75" s="697"/>
      <c r="I75" s="697"/>
      <c r="J75" s="697"/>
      <c r="K75" s="697"/>
      <c r="L75" s="698"/>
      <c r="M75" s="699"/>
      <c r="N75" s="2171"/>
      <c r="O75" s="2171"/>
      <c r="P75" s="2221"/>
      <c r="Q75" s="2173"/>
      <c r="R75" s="2174"/>
      <c r="S75" s="2174"/>
      <c r="T75" s="2174"/>
      <c r="U75" s="2174"/>
      <c r="V75" s="2174"/>
      <c r="W75" s="2174"/>
      <c r="X75" s="2174"/>
      <c r="Y75" s="2174"/>
      <c r="Z75" s="2174"/>
      <c r="AA75" s="2174"/>
      <c r="AB75" s="2174"/>
      <c r="AC75" s="2174"/>
    </row>
    <row r="76" spans="1:29" s="1341" customFormat="1" ht="15.75" thickBot="1">
      <c r="A76" s="700"/>
      <c r="B76" s="701"/>
      <c r="C76" s="702"/>
      <c r="D76" s="702"/>
      <c r="E76" s="702"/>
      <c r="F76" s="702"/>
      <c r="G76" s="702"/>
      <c r="H76" s="703"/>
      <c r="I76" s="703"/>
      <c r="J76" s="703"/>
      <c r="K76" s="703"/>
      <c r="L76" s="703"/>
      <c r="M76" s="704"/>
      <c r="N76" s="2171"/>
      <c r="O76" s="2171"/>
      <c r="P76" s="2219"/>
      <c r="Q76" s="2173"/>
      <c r="R76" s="2174"/>
      <c r="S76" s="2174"/>
      <c r="T76" s="2174"/>
      <c r="U76" s="2174"/>
      <c r="V76" s="2174"/>
      <c r="W76" s="2174"/>
      <c r="X76" s="2174"/>
      <c r="Y76" s="2174"/>
      <c r="Z76" s="2174"/>
      <c r="AA76" s="2174"/>
      <c r="AB76" s="2174"/>
      <c r="AC76" s="2174"/>
    </row>
    <row r="77" spans="1:29">
      <c r="A77" s="666" t="s">
        <v>540</v>
      </c>
      <c r="B77" s="667" t="s">
        <v>586</v>
      </c>
      <c r="C77" s="705" t="s">
        <v>580</v>
      </c>
      <c r="D77" s="705" t="s">
        <v>581</v>
      </c>
      <c r="E77" s="705" t="s">
        <v>582</v>
      </c>
      <c r="F77" s="705" t="s">
        <v>583</v>
      </c>
      <c r="G77" s="705" t="s">
        <v>584</v>
      </c>
      <c r="H77" s="706"/>
      <c r="I77" s="706"/>
      <c r="J77" s="706"/>
      <c r="K77" s="707"/>
      <c r="L77" s="708"/>
      <c r="M77" s="709"/>
      <c r="N77" s="2168"/>
      <c r="O77" s="2168"/>
      <c r="P77" s="2222"/>
      <c r="Q77" s="2162"/>
      <c r="R77" s="2149"/>
      <c r="S77" s="2149"/>
      <c r="T77" s="2149"/>
      <c r="U77" s="2149"/>
      <c r="V77" s="2149"/>
      <c r="W77" s="2149"/>
      <c r="X77" s="2149"/>
      <c r="Y77" s="2149"/>
      <c r="Z77" s="2149"/>
      <c r="AA77" s="2149"/>
      <c r="AB77" s="2149"/>
      <c r="AC77" s="2149"/>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0"/>
      <c r="O78" s="2170"/>
      <c r="P78" s="2218"/>
      <c r="Q78" s="2162"/>
      <c r="R78" s="2149"/>
      <c r="S78" s="2149"/>
      <c r="T78" s="2149"/>
      <c r="U78" s="2149"/>
      <c r="V78" s="2149"/>
      <c r="W78" s="2149"/>
      <c r="X78" s="2149"/>
      <c r="Y78" s="2149"/>
      <c r="Z78" s="2149"/>
      <c r="AA78" s="2149"/>
      <c r="AB78" s="2149"/>
      <c r="AC78" s="2149"/>
    </row>
    <row r="79" spans="1:29" ht="15.75" thickTop="1">
      <c r="A79" s="671"/>
      <c r="B79" s="675" t="s">
        <v>587</v>
      </c>
      <c r="C79" s="710" t="s">
        <v>580</v>
      </c>
      <c r="D79" s="710" t="s">
        <v>581</v>
      </c>
      <c r="E79" s="710" t="s">
        <v>582</v>
      </c>
      <c r="F79" s="710" t="s">
        <v>583</v>
      </c>
      <c r="G79" s="710" t="s">
        <v>584</v>
      </c>
      <c r="H79" s="676"/>
      <c r="I79" s="676"/>
      <c r="J79" s="676"/>
      <c r="K79" s="677"/>
      <c r="L79" s="678"/>
      <c r="M79" s="679"/>
      <c r="N79" s="2168"/>
      <c r="O79" s="2168"/>
      <c r="P79" s="2218"/>
      <c r="Q79" s="2162"/>
      <c r="R79" s="2149"/>
      <c r="S79" s="2149"/>
      <c r="T79" s="2149"/>
      <c r="U79" s="2149"/>
      <c r="V79" s="2149"/>
      <c r="W79" s="2149"/>
      <c r="X79" s="2149"/>
      <c r="Y79" s="2149"/>
      <c r="Z79" s="2149"/>
      <c r="AA79" s="2149"/>
      <c r="AB79" s="2149"/>
      <c r="AC79" s="2149"/>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0"/>
      <c r="O80" s="2170"/>
      <c r="P80" s="2218"/>
      <c r="Q80" s="2162"/>
      <c r="R80" s="2149"/>
      <c r="S80" s="2149"/>
      <c r="T80" s="2149"/>
      <c r="U80" s="2149"/>
      <c r="V80" s="2149"/>
      <c r="W80" s="2149"/>
      <c r="X80" s="2149"/>
      <c r="Y80" s="2149"/>
      <c r="Z80" s="2149"/>
      <c r="AA80" s="2149"/>
      <c r="AB80" s="2149"/>
      <c r="AC80" s="2149"/>
    </row>
    <row r="81" spans="1:29" ht="15.75" thickTop="1">
      <c r="A81" s="671"/>
      <c r="B81" s="1900" t="s">
        <v>2561</v>
      </c>
      <c r="C81" s="710" t="s">
        <v>580</v>
      </c>
      <c r="D81" s="710" t="s">
        <v>581</v>
      </c>
      <c r="E81" s="710" t="s">
        <v>582</v>
      </c>
      <c r="F81" s="710" t="s">
        <v>583</v>
      </c>
      <c r="G81" s="710" t="s">
        <v>584</v>
      </c>
      <c r="H81" s="676"/>
      <c r="I81" s="676"/>
      <c r="J81" s="676"/>
      <c r="K81" s="677"/>
      <c r="L81" s="678"/>
      <c r="M81" s="679"/>
      <c r="N81" s="2168"/>
      <c r="O81" s="2168"/>
      <c r="P81" s="2218"/>
      <c r="Q81" s="2162"/>
      <c r="R81" s="2149"/>
      <c r="S81" s="2149"/>
      <c r="T81" s="2149"/>
      <c r="U81" s="2149"/>
      <c r="V81" s="2149"/>
      <c r="W81" s="2149"/>
      <c r="X81" s="2149"/>
      <c r="Y81" s="2149"/>
      <c r="Z81" s="2149"/>
      <c r="AA81" s="2149"/>
      <c r="AB81" s="2149"/>
      <c r="AC81" s="2149"/>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0"/>
      <c r="O82" s="2170"/>
      <c r="P82" s="2218"/>
      <c r="Q82" s="2162"/>
      <c r="R82" s="2149"/>
      <c r="S82" s="2149"/>
      <c r="T82" s="2149"/>
      <c r="U82" s="2149"/>
      <c r="V82" s="2149"/>
      <c r="W82" s="2149"/>
      <c r="X82" s="2149"/>
      <c r="Y82" s="2149"/>
      <c r="Z82" s="2149"/>
      <c r="AA82" s="2149"/>
      <c r="AB82" s="2149"/>
      <c r="AC82" s="2149"/>
    </row>
    <row r="83" spans="1:29" ht="15.75" thickTop="1">
      <c r="A83" s="671"/>
      <c r="B83" s="2625" t="s">
        <v>2562</v>
      </c>
      <c r="C83" s="2626" t="s">
        <v>2563</v>
      </c>
      <c r="D83" s="2626" t="s">
        <v>2564</v>
      </c>
      <c r="E83" s="2626" t="s">
        <v>2565</v>
      </c>
      <c r="F83" s="2626" t="s">
        <v>2566</v>
      </c>
      <c r="G83" s="2626" t="s">
        <v>2567</v>
      </c>
      <c r="H83" s="676"/>
      <c r="I83" s="676"/>
      <c r="J83" s="676"/>
      <c r="K83" s="676"/>
      <c r="L83" s="676"/>
      <c r="M83" s="2629"/>
      <c r="N83" s="2170"/>
      <c r="O83" s="2170"/>
      <c r="P83" s="2218"/>
      <c r="Q83" s="2162"/>
      <c r="R83" s="2149"/>
      <c r="S83" s="2149"/>
      <c r="T83" s="2149"/>
      <c r="U83" s="2149"/>
      <c r="V83" s="2149"/>
      <c r="W83" s="2149"/>
      <c r="X83" s="2149"/>
      <c r="Y83" s="2149"/>
      <c r="Z83" s="2149"/>
      <c r="AA83" s="2149"/>
      <c r="AB83" s="2149"/>
      <c r="AC83" s="2149"/>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0"/>
      <c r="O84" s="2170"/>
      <c r="P84" s="2218"/>
      <c r="Q84" s="2162"/>
      <c r="R84" s="2149"/>
      <c r="S84" s="2149"/>
      <c r="T84" s="2149"/>
      <c r="U84" s="2149"/>
      <c r="V84" s="2149"/>
      <c r="W84" s="2149"/>
      <c r="X84" s="2149"/>
      <c r="Y84" s="2149"/>
      <c r="Z84" s="2149"/>
      <c r="AA84" s="2149"/>
      <c r="AB84" s="2149"/>
      <c r="AC84" s="2149"/>
    </row>
    <row r="85" spans="1:29" ht="15.75" thickTop="1">
      <c r="A85" s="671"/>
      <c r="B85" s="675" t="s">
        <v>785</v>
      </c>
      <c r="C85" s="710" t="s">
        <v>580</v>
      </c>
      <c r="D85" s="710" t="s">
        <v>581</v>
      </c>
      <c r="E85" s="710" t="s">
        <v>582</v>
      </c>
      <c r="F85" s="710" t="s">
        <v>583</v>
      </c>
      <c r="G85" s="710" t="s">
        <v>584</v>
      </c>
      <c r="H85" s="676"/>
      <c r="I85" s="676"/>
      <c r="J85" s="676"/>
      <c r="K85" s="677"/>
      <c r="L85" s="678"/>
      <c r="M85" s="679"/>
      <c r="N85" s="2168"/>
      <c r="O85" s="2168"/>
      <c r="P85" s="2218"/>
      <c r="Q85" s="2162"/>
      <c r="R85" s="2149"/>
      <c r="S85" s="2149"/>
      <c r="T85" s="2149"/>
      <c r="U85" s="2149"/>
      <c r="V85" s="2149"/>
      <c r="W85" s="2149"/>
      <c r="X85" s="2149"/>
      <c r="Y85" s="2149"/>
      <c r="Z85" s="2149"/>
      <c r="AA85" s="2149"/>
      <c r="AB85" s="2149"/>
      <c r="AC85" s="2149"/>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0"/>
      <c r="O86" s="2170"/>
      <c r="P86" s="2218"/>
      <c r="Q86" s="2162"/>
      <c r="R86" s="2149"/>
      <c r="S86" s="2149"/>
      <c r="T86" s="2149"/>
      <c r="U86" s="2149"/>
      <c r="V86" s="2149"/>
      <c r="W86" s="2149"/>
      <c r="X86" s="2149"/>
      <c r="Y86" s="2149"/>
      <c r="Z86" s="2149"/>
      <c r="AA86" s="2149"/>
      <c r="AB86" s="2149"/>
      <c r="AC86" s="2149"/>
    </row>
    <row r="87" spans="1:29" s="1222" customFormat="1" ht="27.75" thickTop="1">
      <c r="A87" s="711"/>
      <c r="B87" s="675" t="s">
        <v>786</v>
      </c>
      <c r="C87" s="690"/>
      <c r="D87" s="690"/>
      <c r="E87" s="690"/>
      <c r="F87" s="690"/>
      <c r="G87" s="690"/>
      <c r="H87" s="690"/>
      <c r="I87" s="690"/>
      <c r="J87" s="690"/>
      <c r="K87" s="690"/>
      <c r="L87" s="892"/>
      <c r="M87" s="893"/>
      <c r="N87" s="2166"/>
      <c r="O87" s="2166"/>
      <c r="P87" s="2218"/>
      <c r="Q87" s="2162"/>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0"/>
      <c r="O88" s="2170"/>
      <c r="P88" s="2218"/>
      <c r="Q88" s="2162"/>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66"/>
      <c r="O89" s="2166"/>
      <c r="P89" s="2218"/>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0"/>
      <c r="O90" s="2170"/>
      <c r="P90" s="2218"/>
      <c r="Q90" s="2162"/>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1"/>
      <c r="O91" s="2171"/>
      <c r="P91" s="2219"/>
      <c r="Q91" s="2173"/>
      <c r="R91" s="2174"/>
      <c r="S91" s="2174"/>
      <c r="T91" s="2174"/>
      <c r="U91" s="2174"/>
      <c r="V91" s="2174"/>
      <c r="W91" s="2174"/>
      <c r="X91" s="2174"/>
      <c r="Y91" s="2174"/>
      <c r="Z91" s="2174"/>
      <c r="AA91" s="2174"/>
      <c r="AB91" s="2174"/>
      <c r="AC91" s="2174"/>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1"/>
      <c r="B93" s="675">
        <f>B29</f>
        <v>111</v>
      </c>
      <c r="C93" s="690"/>
      <c r="D93" s="690"/>
      <c r="E93" s="690"/>
      <c r="F93" s="690"/>
      <c r="G93" s="690"/>
      <c r="H93" s="690"/>
      <c r="I93" s="690"/>
      <c r="J93" s="690"/>
      <c r="K93" s="690"/>
      <c r="L93" s="892"/>
      <c r="M93" s="893"/>
      <c r="N93" s="2168"/>
      <c r="O93" s="2168"/>
      <c r="P93" s="2218"/>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73"/>
      <c r="H94" s="673"/>
      <c r="I94" s="673"/>
      <c r="J94" s="673"/>
      <c r="K94" s="673"/>
      <c r="L94" s="673"/>
      <c r="M94" s="674"/>
      <c r="N94" s="2170"/>
      <c r="O94" s="2170"/>
      <c r="P94" s="2218"/>
      <c r="Q94" s="2162"/>
      <c r="R94" s="2149"/>
      <c r="S94" s="2149"/>
      <c r="T94" s="2149"/>
      <c r="U94" s="2149"/>
      <c r="V94" s="2149"/>
      <c r="W94" s="2149"/>
      <c r="X94" s="2149"/>
      <c r="Y94" s="2149"/>
      <c r="Z94" s="2149"/>
      <c r="AA94" s="2149"/>
      <c r="AB94" s="2149"/>
      <c r="AC94" s="2149"/>
    </row>
    <row r="95" spans="1:29" ht="15.75" thickTop="1">
      <c r="A95" s="671"/>
      <c r="B95" s="675">
        <f>B30</f>
        <v>111</v>
      </c>
      <c r="C95" s="690"/>
      <c r="D95" s="690"/>
      <c r="E95" s="690"/>
      <c r="F95" s="690"/>
      <c r="G95" s="720"/>
      <c r="H95" s="720"/>
      <c r="I95" s="720"/>
      <c r="J95" s="720"/>
      <c r="K95" s="721"/>
      <c r="L95" s="722"/>
      <c r="M95" s="723"/>
      <c r="N95" s="2168"/>
      <c r="O95" s="2168"/>
      <c r="P95" s="2218"/>
      <c r="Q95" s="2162"/>
      <c r="R95" s="2149"/>
      <c r="S95" s="2149"/>
      <c r="T95" s="2149"/>
      <c r="U95" s="2149"/>
      <c r="V95" s="2149"/>
      <c r="W95" s="2149"/>
      <c r="X95" s="2149"/>
      <c r="Y95" s="2149"/>
      <c r="Z95" s="2149"/>
      <c r="AA95" s="2149"/>
      <c r="AB95" s="2149"/>
      <c r="AC95" s="2149"/>
    </row>
    <row r="96" spans="1:29" ht="15.75" thickBot="1">
      <c r="A96" s="671"/>
      <c r="B96" s="680"/>
      <c r="C96" s="694"/>
      <c r="D96" s="694"/>
      <c r="E96" s="694"/>
      <c r="F96" s="694"/>
      <c r="G96" s="673"/>
      <c r="H96" s="673"/>
      <c r="I96" s="673"/>
      <c r="J96" s="673"/>
      <c r="K96" s="673"/>
      <c r="L96" s="673"/>
      <c r="M96" s="674"/>
      <c r="N96" s="2170"/>
      <c r="O96" s="2170"/>
      <c r="P96" s="2218"/>
      <c r="Q96" s="2162"/>
      <c r="R96" s="2149"/>
      <c r="S96" s="2149"/>
      <c r="T96" s="2149"/>
      <c r="U96" s="2149"/>
      <c r="V96" s="2149"/>
      <c r="W96" s="2149"/>
      <c r="X96" s="2149"/>
      <c r="Y96" s="2149"/>
      <c r="Z96" s="2149"/>
      <c r="AA96" s="2149"/>
      <c r="AB96" s="2149"/>
      <c r="AC96" s="2149"/>
    </row>
    <row r="97" spans="1:29" ht="15.75" thickTop="1">
      <c r="A97" s="671"/>
      <c r="B97" s="675">
        <f>B31</f>
        <v>111</v>
      </c>
      <c r="C97" s="690"/>
      <c r="D97" s="690"/>
      <c r="E97" s="690"/>
      <c r="F97" s="690"/>
      <c r="G97" s="720"/>
      <c r="H97" s="720"/>
      <c r="I97" s="720"/>
      <c r="J97" s="720"/>
      <c r="K97" s="721"/>
      <c r="L97" s="722"/>
      <c r="M97" s="723"/>
      <c r="N97" s="2168"/>
      <c r="O97" s="2168"/>
      <c r="P97" s="2218"/>
      <c r="Q97" s="2162"/>
      <c r="R97" s="2149"/>
      <c r="S97" s="2149"/>
      <c r="T97" s="2149"/>
      <c r="U97" s="2149"/>
      <c r="V97" s="2149"/>
      <c r="W97" s="2149"/>
      <c r="X97" s="2149"/>
      <c r="Y97" s="2149"/>
      <c r="Z97" s="2149"/>
      <c r="AA97" s="2149"/>
      <c r="AB97" s="2149"/>
      <c r="AC97" s="2149"/>
    </row>
    <row r="98" spans="1:29" ht="15.75" thickBot="1">
      <c r="A98" s="671"/>
      <c r="B98" s="680"/>
      <c r="C98" s="694"/>
      <c r="D98" s="673"/>
      <c r="E98" s="673"/>
      <c r="F98" s="673"/>
      <c r="G98" s="673"/>
      <c r="H98" s="673"/>
      <c r="I98" s="673"/>
      <c r="J98" s="673"/>
      <c r="K98" s="673"/>
      <c r="L98" s="673"/>
      <c r="M98" s="674"/>
      <c r="N98" s="2170"/>
      <c r="O98" s="2170"/>
      <c r="P98" s="2218"/>
      <c r="Q98" s="2162"/>
      <c r="R98" s="2149"/>
      <c r="S98" s="2149"/>
      <c r="T98" s="2149"/>
      <c r="U98" s="2149"/>
      <c r="V98" s="2149"/>
      <c r="W98" s="2149"/>
      <c r="X98" s="2149"/>
      <c r="Y98" s="2149"/>
      <c r="Z98" s="2149"/>
      <c r="AA98" s="2149"/>
      <c r="AB98" s="2149"/>
      <c r="AC98" s="2149"/>
    </row>
    <row r="99" spans="1:29" ht="15.75" thickTop="1">
      <c r="A99" s="671"/>
      <c r="B99" s="683">
        <f>B32</f>
        <v>111</v>
      </c>
      <c r="C99" s="663"/>
      <c r="D99" s="663"/>
      <c r="E99" s="663"/>
      <c r="F99" s="663"/>
      <c r="G99" s="724"/>
      <c r="H99" s="724"/>
      <c r="I99" s="724"/>
      <c r="J99" s="724"/>
      <c r="K99" s="725"/>
      <c r="L99" s="726"/>
      <c r="M99" s="727"/>
      <c r="N99" s="2168"/>
      <c r="O99" s="2168"/>
      <c r="P99" s="2218"/>
      <c r="Q99" s="2162"/>
      <c r="R99" s="2149"/>
      <c r="S99" s="2149"/>
      <c r="T99" s="2149"/>
      <c r="U99" s="2149"/>
      <c r="V99" s="2149"/>
      <c r="W99" s="2149"/>
      <c r="X99" s="2149"/>
      <c r="Y99" s="2149"/>
      <c r="Z99" s="2149"/>
      <c r="AA99" s="2149"/>
      <c r="AB99" s="2149"/>
      <c r="AC99" s="2149"/>
    </row>
    <row r="100" spans="1:29" ht="15.75" thickBot="1">
      <c r="A100" s="895"/>
      <c r="B100" s="701"/>
      <c r="C100" s="702"/>
      <c r="D100" s="702"/>
      <c r="E100" s="702"/>
      <c r="F100" s="702"/>
      <c r="G100" s="728"/>
      <c r="H100" s="728"/>
      <c r="I100" s="728"/>
      <c r="J100" s="728"/>
      <c r="K100" s="728"/>
      <c r="L100" s="728"/>
      <c r="M100" s="729"/>
      <c r="N100" s="2170"/>
      <c r="O100" s="2170"/>
      <c r="P100" s="2218"/>
      <c r="Q100" s="2162"/>
      <c r="R100" s="2149"/>
      <c r="S100" s="2149"/>
      <c r="T100" s="2149"/>
      <c r="U100" s="2149"/>
      <c r="V100" s="2149"/>
      <c r="W100" s="2149"/>
      <c r="X100" s="2149"/>
      <c r="Y100" s="2149"/>
      <c r="Z100" s="2149"/>
      <c r="AA100" s="2149"/>
      <c r="AB100" s="2149"/>
      <c r="AC100" s="2149"/>
    </row>
    <row r="101" spans="1:29">
      <c r="A101" s="666" t="s">
        <v>552</v>
      </c>
      <c r="B101" s="667" t="s">
        <v>748</v>
      </c>
      <c r="C101" s="600"/>
      <c r="D101" s="600"/>
      <c r="E101" s="600"/>
      <c r="F101" s="600"/>
      <c r="G101" s="600"/>
      <c r="H101" s="600"/>
      <c r="I101" s="600"/>
      <c r="J101" s="600"/>
      <c r="K101" s="668"/>
      <c r="L101" s="669"/>
      <c r="M101" s="670"/>
      <c r="N101" s="2168"/>
      <c r="O101" s="2168"/>
      <c r="P101" s="2218"/>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1"/>
      <c r="B103" s="675" t="s">
        <v>749</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1" customFormat="1">
      <c r="A104" s="730"/>
      <c r="B104" s="731"/>
      <c r="C104" s="732"/>
      <c r="D104" s="732"/>
      <c r="E104" s="732"/>
      <c r="F104" s="732"/>
      <c r="G104" s="732"/>
      <c r="H104" s="732"/>
      <c r="I104" s="732"/>
      <c r="J104" s="733"/>
      <c r="K104" s="733"/>
      <c r="L104" s="734"/>
      <c r="M104" s="735"/>
      <c r="N104" s="2171"/>
      <c r="O104" s="2171"/>
      <c r="P104" s="2219"/>
      <c r="Q104" s="2173"/>
      <c r="R104" s="2174"/>
      <c r="S104" s="2174"/>
      <c r="T104" s="2174"/>
      <c r="U104" s="2174"/>
      <c r="V104" s="2174"/>
      <c r="W104" s="2174"/>
      <c r="X104" s="2174"/>
      <c r="Y104" s="2174"/>
      <c r="Z104" s="2174"/>
      <c r="AA104" s="2174"/>
      <c r="AB104" s="2174"/>
      <c r="AC104" s="2174"/>
    </row>
    <row r="105" spans="1:29" s="1341" customFormat="1" ht="15.75" thickBot="1">
      <c r="A105" s="689"/>
      <c r="B105" s="680"/>
      <c r="C105" s="694"/>
      <c r="D105" s="673"/>
      <c r="E105" s="673"/>
      <c r="F105" s="673"/>
      <c r="G105" s="673"/>
      <c r="H105" s="673"/>
      <c r="I105" s="673"/>
      <c r="J105" s="673"/>
      <c r="K105" s="673"/>
      <c r="L105" s="673"/>
      <c r="M105" s="674"/>
      <c r="N105" s="2170"/>
      <c r="O105" s="2170"/>
      <c r="P105" s="2219"/>
      <c r="Q105" s="2173"/>
      <c r="R105" s="2174"/>
      <c r="S105" s="2174"/>
      <c r="T105" s="2174"/>
      <c r="U105" s="2174"/>
      <c r="V105" s="2174"/>
      <c r="W105" s="2174"/>
      <c r="X105" s="2174"/>
      <c r="Y105" s="2174"/>
      <c r="Z105" s="2174"/>
      <c r="AA105" s="2174"/>
      <c r="AB105" s="2174"/>
      <c r="AC105" s="2174"/>
    </row>
    <row r="106" spans="1:29" ht="15" thickTop="1">
      <c r="A106" s="737"/>
      <c r="B106" s="675" t="s">
        <v>750</v>
      </c>
      <c r="C106" s="690"/>
      <c r="D106" s="690"/>
      <c r="E106" s="720"/>
      <c r="F106" s="720"/>
      <c r="G106" s="720"/>
      <c r="H106" s="720"/>
      <c r="I106" s="720"/>
      <c r="J106" s="720"/>
      <c r="K106" s="721"/>
      <c r="L106" s="722"/>
      <c r="M106" s="723"/>
      <c r="N106" s="2168"/>
      <c r="O106" s="2168"/>
      <c r="P106" s="2218"/>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7"/>
      <c r="B108" s="675" t="s">
        <v>752</v>
      </c>
      <c r="C108" s="690"/>
      <c r="D108" s="690"/>
      <c r="E108" s="690"/>
      <c r="F108" s="720"/>
      <c r="G108" s="720"/>
      <c r="H108" s="720"/>
      <c r="I108" s="720"/>
      <c r="J108" s="720"/>
      <c r="K108" s="721"/>
      <c r="L108" s="722"/>
      <c r="M108" s="723"/>
      <c r="N108" s="2168"/>
      <c r="O108" s="2168"/>
      <c r="P108" s="2218"/>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7"/>
      <c r="B110" s="675" t="s">
        <v>753</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8"/>
      <c r="O110" s="2168"/>
      <c r="P110" s="2218"/>
      <c r="Q110" s="2162"/>
      <c r="R110" s="2149"/>
      <c r="S110" s="2149"/>
      <c r="T110" s="2149"/>
      <c r="U110" s="2149"/>
      <c r="V110" s="2149"/>
      <c r="W110" s="2149"/>
      <c r="X110" s="2149"/>
      <c r="Y110" s="2149"/>
      <c r="Z110" s="2149"/>
      <c r="AA110" s="2149"/>
      <c r="AB110" s="2149"/>
      <c r="AC110" s="2149"/>
    </row>
    <row r="111" spans="1:29">
      <c r="A111" s="737"/>
      <c r="B111" s="683"/>
      <c r="C111" s="896">
        <v>0.5</v>
      </c>
      <c r="D111" s="896">
        <v>0.6</v>
      </c>
      <c r="E111" s="896">
        <v>0.7</v>
      </c>
      <c r="F111" s="896">
        <v>0.8</v>
      </c>
      <c r="G111" s="896">
        <v>0.9</v>
      </c>
      <c r="H111" s="896">
        <v>1.0001</v>
      </c>
      <c r="I111" s="907"/>
      <c r="J111" s="907"/>
      <c r="K111" s="908"/>
      <c r="L111" s="909"/>
      <c r="M111" s="910"/>
      <c r="N111" s="2168"/>
      <c r="O111" s="2168"/>
      <c r="P111" s="2218"/>
      <c r="Q111" s="2162"/>
      <c r="R111" s="2149"/>
      <c r="S111" s="2149"/>
      <c r="T111" s="2149"/>
      <c r="U111" s="2149"/>
      <c r="V111" s="2149"/>
      <c r="W111" s="2149"/>
      <c r="X111" s="2149"/>
      <c r="Y111" s="2149"/>
      <c r="Z111" s="2149"/>
      <c r="AA111" s="2149"/>
      <c r="AB111" s="2149"/>
      <c r="AC111" s="2149"/>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0"/>
      <c r="O112" s="2170"/>
      <c r="P112" s="2218"/>
      <c r="Q112" s="2162"/>
      <c r="R112" s="2149"/>
      <c r="S112" s="2149"/>
      <c r="T112" s="2149"/>
      <c r="U112" s="2149"/>
      <c r="V112" s="2149"/>
      <c r="W112" s="2149"/>
      <c r="X112" s="2149"/>
      <c r="Y112" s="2149"/>
      <c r="Z112" s="2149"/>
      <c r="AA112" s="2149"/>
      <c r="AB112" s="2149"/>
      <c r="AC112" s="2149"/>
    </row>
    <row r="113" spans="1:29" s="1341" customFormat="1" ht="15" thickTop="1">
      <c r="A113" s="730"/>
      <c r="B113" s="675" t="s">
        <v>787</v>
      </c>
      <c r="C113" s="690"/>
      <c r="D113" s="690"/>
      <c r="E113" s="690"/>
      <c r="F113" s="690"/>
      <c r="G113" s="690"/>
      <c r="H113" s="720"/>
      <c r="I113" s="720"/>
      <c r="J113" s="720"/>
      <c r="K113" s="721"/>
      <c r="L113" s="722"/>
      <c r="M113" s="723"/>
      <c r="N113" s="2171"/>
      <c r="O113" s="2171"/>
      <c r="P113" s="2219"/>
      <c r="Q113" s="2173"/>
      <c r="R113" s="2174"/>
      <c r="S113" s="2174"/>
      <c r="T113" s="2174"/>
      <c r="U113" s="2174"/>
      <c r="V113" s="2174"/>
      <c r="W113" s="2174"/>
      <c r="X113" s="2174"/>
      <c r="Y113" s="2174"/>
      <c r="Z113" s="2174"/>
      <c r="AA113" s="2174"/>
      <c r="AB113" s="2174"/>
      <c r="AC113" s="2174"/>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7"/>
      <c r="B115" s="675" t="s">
        <v>754</v>
      </c>
      <c r="C115" s="690"/>
      <c r="D115" s="690"/>
      <c r="E115" s="720"/>
      <c r="F115" s="720"/>
      <c r="G115" s="720"/>
      <c r="H115" s="720"/>
      <c r="I115" s="720"/>
      <c r="J115" s="720"/>
      <c r="K115" s="721"/>
      <c r="L115" s="722"/>
      <c r="M115" s="723"/>
      <c r="N115" s="2168"/>
      <c r="O115" s="2168"/>
      <c r="P115" s="2218"/>
      <c r="Q115" s="2162"/>
      <c r="R115" s="2149"/>
      <c r="S115" s="2149"/>
      <c r="T115" s="2149"/>
      <c r="U115" s="2149"/>
      <c r="V115" s="2149"/>
      <c r="W115" s="2149"/>
      <c r="X115" s="2149"/>
      <c r="Y115" s="2149"/>
      <c r="Z115" s="2149"/>
      <c r="AA115" s="2149"/>
      <c r="AB115" s="2149"/>
      <c r="AC115" s="2149"/>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7"/>
      <c r="B117" s="1900" t="s">
        <v>2560</v>
      </c>
      <c r="C117" s="690"/>
      <c r="D117" s="690"/>
      <c r="E117" s="690"/>
      <c r="F117" s="690"/>
      <c r="G117" s="690"/>
      <c r="H117" s="720"/>
      <c r="I117" s="720"/>
      <c r="J117" s="720"/>
      <c r="K117" s="721"/>
      <c r="L117" s="722"/>
      <c r="M117" s="723"/>
      <c r="N117" s="2168"/>
      <c r="O117" s="2168"/>
      <c r="P117" s="2218"/>
      <c r="Q117" s="2162"/>
      <c r="R117" s="2149"/>
      <c r="S117" s="2149"/>
      <c r="T117" s="2149"/>
      <c r="U117" s="2149"/>
      <c r="V117" s="2149"/>
      <c r="W117" s="2149"/>
      <c r="X117" s="2149"/>
      <c r="Y117" s="2149"/>
      <c r="Z117" s="2149"/>
      <c r="AA117" s="2149"/>
      <c r="AB117" s="2149"/>
      <c r="AC117" s="2149"/>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0"/>
      <c r="O118" s="2170"/>
      <c r="P118" s="2218"/>
      <c r="Q118" s="2162"/>
      <c r="R118" s="2149"/>
      <c r="S118" s="2149"/>
      <c r="T118" s="2149"/>
      <c r="U118" s="2149"/>
      <c r="V118" s="2149"/>
      <c r="W118" s="2149"/>
      <c r="X118" s="2149"/>
      <c r="Y118" s="2149"/>
      <c r="Z118" s="2149"/>
      <c r="AA118" s="2149"/>
      <c r="AB118" s="2149"/>
      <c r="AC118" s="2149"/>
    </row>
    <row r="119" spans="1:29" ht="15" thickTop="1">
      <c r="A119" s="737"/>
      <c r="B119" s="919" t="s">
        <v>788</v>
      </c>
      <c r="C119" s="720"/>
      <c r="D119" s="720"/>
      <c r="E119" s="720"/>
      <c r="F119" s="720"/>
      <c r="G119" s="720"/>
      <c r="H119" s="720"/>
      <c r="I119" s="720"/>
      <c r="J119" s="720"/>
      <c r="K119" s="720"/>
      <c r="L119" s="920"/>
      <c r="M119" s="921"/>
      <c r="N119" s="2170"/>
      <c r="O119" s="2170"/>
      <c r="P119" s="2223"/>
      <c r="Q119" s="2210"/>
      <c r="R119" s="2149"/>
      <c r="S119" s="2149"/>
      <c r="T119" s="2149"/>
      <c r="U119" s="2149"/>
      <c r="V119" s="2149"/>
      <c r="W119" s="2149"/>
      <c r="X119" s="2149"/>
      <c r="Y119" s="2149"/>
      <c r="Z119" s="2149"/>
      <c r="AA119" s="2149"/>
      <c r="AB119" s="2149"/>
      <c r="AC119" s="2149"/>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0"/>
      <c r="O120" s="2170"/>
      <c r="P120" s="2218"/>
      <c r="Q120" s="2162"/>
      <c r="R120" s="2149"/>
      <c r="S120" s="2149"/>
      <c r="T120" s="2149"/>
      <c r="U120" s="2149"/>
      <c r="V120" s="2149"/>
      <c r="W120" s="2149"/>
      <c r="X120" s="2149"/>
      <c r="Y120" s="2149"/>
      <c r="Z120" s="2149"/>
      <c r="AA120" s="2149"/>
      <c r="AB120" s="2149"/>
      <c r="AC120" s="2149"/>
    </row>
    <row r="121" spans="1:29" s="1341" customFormat="1" ht="15" thickTop="1">
      <c r="A121" s="730"/>
      <c r="B121" s="675" t="s">
        <v>776</v>
      </c>
      <c r="C121" s="690"/>
      <c r="D121" s="690"/>
      <c r="E121" s="690"/>
      <c r="F121" s="720"/>
      <c r="G121" s="691"/>
      <c r="H121" s="691"/>
      <c r="I121" s="691"/>
      <c r="J121" s="691"/>
      <c r="K121" s="691"/>
      <c r="L121" s="692"/>
      <c r="M121" s="693"/>
      <c r="N121" s="2171"/>
      <c r="O121" s="2171"/>
      <c r="P121" s="2219"/>
      <c r="Q121" s="2173"/>
      <c r="R121" s="2174"/>
      <c r="S121" s="2174"/>
      <c r="T121" s="2174"/>
      <c r="U121" s="2174"/>
      <c r="V121" s="2174"/>
      <c r="W121" s="2174"/>
      <c r="X121" s="2174"/>
      <c r="Y121" s="2174"/>
      <c r="Z121" s="2174"/>
      <c r="AA121" s="2174"/>
      <c r="AB121" s="2174"/>
      <c r="AC121" s="2174"/>
    </row>
    <row r="122" spans="1:29" s="1341" customFormat="1" ht="15.75" thickBot="1">
      <c r="A122" s="689"/>
      <c r="B122" s="672"/>
      <c r="C122" s="694"/>
      <c r="D122" s="694"/>
      <c r="E122" s="694"/>
      <c r="F122" s="694"/>
      <c r="G122" s="694"/>
      <c r="H122" s="694"/>
      <c r="I122" s="694"/>
      <c r="J122" s="694"/>
      <c r="K122" s="694"/>
      <c r="L122" s="694"/>
      <c r="M122" s="694"/>
      <c r="N122" s="2171"/>
      <c r="O122" s="2171"/>
      <c r="P122" s="2219"/>
      <c r="Q122" s="2173"/>
      <c r="R122" s="2174"/>
      <c r="S122" s="2174"/>
      <c r="T122" s="2174"/>
      <c r="U122" s="2174"/>
      <c r="V122" s="2174"/>
      <c r="W122" s="2174"/>
      <c r="X122" s="2174"/>
      <c r="Y122" s="2174"/>
      <c r="Z122" s="2174"/>
      <c r="AA122" s="2174"/>
      <c r="AB122" s="2174"/>
      <c r="AC122" s="2174"/>
    </row>
    <row r="123" spans="1:29" ht="15" thickTop="1">
      <c r="A123" s="737"/>
      <c r="B123" s="675" t="s">
        <v>756</v>
      </c>
      <c r="C123" s="690"/>
      <c r="D123" s="690"/>
      <c r="E123" s="690"/>
      <c r="F123" s="720"/>
      <c r="G123" s="720"/>
      <c r="H123" s="720"/>
      <c r="I123" s="720"/>
      <c r="J123" s="720"/>
      <c r="K123" s="721"/>
      <c r="L123" s="722"/>
      <c r="M123" s="723"/>
      <c r="N123" s="2168"/>
      <c r="O123" s="2168"/>
      <c r="P123" s="2218"/>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7"/>
      <c r="B125" s="675" t="s">
        <v>757</v>
      </c>
      <c r="C125" s="710" t="s">
        <v>580</v>
      </c>
      <c r="D125" s="710" t="s">
        <v>581</v>
      </c>
      <c r="E125" s="710" t="s">
        <v>582</v>
      </c>
      <c r="F125" s="710" t="s">
        <v>583</v>
      </c>
      <c r="G125" s="710" t="s">
        <v>584</v>
      </c>
      <c r="H125" s="676"/>
      <c r="I125" s="676"/>
      <c r="J125" s="676"/>
      <c r="K125" s="677"/>
      <c r="L125" s="678"/>
      <c r="M125" s="679"/>
      <c r="N125" s="2168"/>
      <c r="O125" s="2168"/>
      <c r="P125" s="2219"/>
      <c r="Q125" s="2162"/>
      <c r="R125" s="2149"/>
      <c r="S125" s="2149"/>
      <c r="T125" s="2149"/>
      <c r="U125" s="2149"/>
      <c r="V125" s="2149"/>
      <c r="W125" s="2149"/>
      <c r="X125" s="2149"/>
      <c r="Y125" s="2149"/>
      <c r="Z125" s="2149"/>
      <c r="AA125" s="2149"/>
      <c r="AB125" s="2149"/>
      <c r="AC125" s="2149"/>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0"/>
      <c r="O126" s="2170"/>
      <c r="P126" s="2218"/>
      <c r="Q126" s="2162"/>
      <c r="R126" s="2149"/>
      <c r="S126" s="2149"/>
      <c r="T126" s="2149"/>
      <c r="U126" s="2149"/>
      <c r="V126" s="2149"/>
      <c r="W126" s="2149"/>
      <c r="X126" s="2149"/>
      <c r="Y126" s="2149"/>
      <c r="Z126" s="2149"/>
      <c r="AA126" s="2149"/>
      <c r="AB126" s="2149"/>
      <c r="AC126" s="2149"/>
    </row>
    <row r="127" spans="1:29" s="1341" customFormat="1" ht="15" thickTop="1">
      <c r="A127" s="730"/>
      <c r="B127" s="675">
        <f>B45</f>
        <v>111</v>
      </c>
      <c r="C127" s="690"/>
      <c r="D127" s="690"/>
      <c r="E127" s="690"/>
      <c r="F127" s="690"/>
      <c r="G127" s="690"/>
      <c r="H127" s="691"/>
      <c r="I127" s="691"/>
      <c r="J127" s="691"/>
      <c r="K127" s="691"/>
      <c r="L127" s="692"/>
      <c r="M127" s="693"/>
      <c r="N127" s="2171"/>
      <c r="O127" s="2171"/>
      <c r="P127" s="2219"/>
      <c r="Q127" s="2173"/>
      <c r="R127" s="2174"/>
      <c r="S127" s="2174"/>
      <c r="T127" s="2174"/>
      <c r="U127" s="2174"/>
      <c r="V127" s="2174"/>
      <c r="W127" s="2174"/>
      <c r="X127" s="2174"/>
      <c r="Y127" s="2174"/>
      <c r="Z127" s="2174"/>
      <c r="AA127" s="2174"/>
      <c r="AB127" s="2174"/>
      <c r="AC127" s="2174"/>
    </row>
    <row r="128" spans="1:29" s="1341" customFormat="1" ht="15.75" thickBot="1">
      <c r="A128" s="689"/>
      <c r="B128" s="680"/>
      <c r="C128" s="694"/>
      <c r="D128" s="673"/>
      <c r="E128" s="673"/>
      <c r="F128" s="673"/>
      <c r="G128" s="694"/>
      <c r="H128" s="695"/>
      <c r="I128" s="695"/>
      <c r="J128" s="695"/>
      <c r="K128" s="695"/>
      <c r="L128" s="695"/>
      <c r="M128" s="696"/>
      <c r="N128" s="2171"/>
      <c r="O128" s="2171"/>
      <c r="P128" s="2219"/>
      <c r="Q128" s="2173"/>
      <c r="R128" s="2174"/>
      <c r="S128" s="2174"/>
      <c r="T128" s="2174"/>
      <c r="U128" s="2174"/>
      <c r="V128" s="2174"/>
      <c r="W128" s="2174"/>
      <c r="X128" s="2174"/>
      <c r="Y128" s="2174"/>
      <c r="Z128" s="2174"/>
      <c r="AA128" s="2174"/>
      <c r="AB128" s="2174"/>
      <c r="AC128" s="2174"/>
    </row>
    <row r="129" spans="1:29" ht="15" thickTop="1">
      <c r="A129" s="737"/>
      <c r="B129" s="675">
        <f>B46</f>
        <v>111</v>
      </c>
      <c r="C129" s="690"/>
      <c r="D129" s="690"/>
      <c r="E129" s="690"/>
      <c r="F129" s="690"/>
      <c r="G129" s="720"/>
      <c r="H129" s="720"/>
      <c r="I129" s="720"/>
      <c r="J129" s="720"/>
      <c r="K129" s="721"/>
      <c r="L129" s="722"/>
      <c r="M129" s="723"/>
      <c r="N129" s="2168"/>
      <c r="O129" s="2168"/>
      <c r="P129" s="2218"/>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218"/>
      <c r="Q130" s="2162"/>
      <c r="R130" s="2149"/>
      <c r="S130" s="2149"/>
      <c r="T130" s="2149"/>
      <c r="U130" s="2149"/>
      <c r="V130" s="2149"/>
      <c r="W130" s="2149"/>
      <c r="X130" s="2149"/>
      <c r="Y130" s="2149"/>
      <c r="Z130" s="2149"/>
      <c r="AA130" s="2149"/>
      <c r="AB130" s="2149"/>
      <c r="AC130" s="2149"/>
    </row>
    <row r="131" spans="1:29" ht="15" thickTop="1">
      <c r="A131" s="737"/>
      <c r="B131" s="683">
        <f>B47</f>
        <v>111</v>
      </c>
      <c r="C131" s="663"/>
      <c r="D131" s="663"/>
      <c r="E131" s="663"/>
      <c r="F131" s="663"/>
      <c r="G131" s="724"/>
      <c r="H131" s="724"/>
      <c r="I131" s="724"/>
      <c r="J131" s="724"/>
      <c r="K131" s="663"/>
      <c r="L131" s="664"/>
      <c r="M131" s="727"/>
      <c r="N131" s="2168"/>
      <c r="O131" s="2168"/>
      <c r="P131" s="2218"/>
      <c r="Q131" s="2162"/>
      <c r="R131" s="2149"/>
      <c r="S131" s="2149"/>
      <c r="T131" s="2149"/>
      <c r="U131" s="2149"/>
      <c r="V131" s="2149"/>
      <c r="W131" s="2149"/>
      <c r="X131" s="2149"/>
      <c r="Y131" s="2149"/>
      <c r="Z131" s="2149"/>
      <c r="AA131" s="2149"/>
      <c r="AB131" s="2149"/>
      <c r="AC131" s="2149"/>
    </row>
    <row r="132" spans="1:29" ht="15.75" thickBot="1">
      <c r="A132" s="895"/>
      <c r="B132" s="701"/>
      <c r="C132" s="702"/>
      <c r="D132" s="702"/>
      <c r="E132" s="702"/>
      <c r="F132" s="702"/>
      <c r="G132" s="728"/>
      <c r="H132" s="728"/>
      <c r="I132" s="728"/>
      <c r="J132" s="728"/>
      <c r="K132" s="728"/>
      <c r="L132" s="728"/>
      <c r="M132" s="729"/>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789</v>
      </c>
      <c r="C1" s="506" t="s">
        <v>721</v>
      </c>
      <c r="D1" s="851"/>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8" customFormat="1" ht="28.5" customHeight="1">
      <c r="A2" s="425" t="s">
        <v>467</v>
      </c>
      <c r="B2" s="852"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0"/>
    </row>
    <row r="3" spans="1:29" s="1338" customFormat="1" ht="28.5" customHeight="1" thickBot="1">
      <c r="A3" s="511" t="s">
        <v>520</v>
      </c>
      <c r="B3" s="512" t="e">
        <f>C43</f>
        <v>#DIV/0!</v>
      </c>
      <c r="C3" s="854" t="s">
        <v>723</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522</v>
      </c>
      <c r="B4" s="515"/>
      <c r="C4" s="3366" t="s">
        <v>523</v>
      </c>
      <c r="D4" s="3367"/>
      <c r="E4" s="3400" t="s">
        <v>524</v>
      </c>
      <c r="F4" s="3401"/>
      <c r="G4" s="3366" t="s">
        <v>525</v>
      </c>
      <c r="H4" s="3367"/>
      <c r="I4" s="3366" t="s">
        <v>526</v>
      </c>
      <c r="J4" s="3367"/>
      <c r="K4" s="516" t="s">
        <v>527</v>
      </c>
      <c r="L4" s="2137"/>
      <c r="M4" s="2138"/>
      <c r="N4" s="2138"/>
      <c r="O4" s="2138"/>
      <c r="P4" s="3368" t="s">
        <v>528</v>
      </c>
      <c r="Q4" s="3369"/>
      <c r="R4" s="3374" t="s">
        <v>524</v>
      </c>
      <c r="S4" s="3375"/>
      <c r="T4" s="3374" t="s">
        <v>525</v>
      </c>
      <c r="U4" s="3375"/>
      <c r="V4" s="3361" t="s">
        <v>526</v>
      </c>
      <c r="W4" s="3361"/>
      <c r="X4" s="1570"/>
      <c r="Y4" s="3374" t="s">
        <v>528</v>
      </c>
      <c r="Z4" s="3375"/>
      <c r="AA4" s="3363" t="s">
        <v>524</v>
      </c>
      <c r="AB4" s="3364" t="s">
        <v>525</v>
      </c>
      <c r="AC4" s="3363" t="s">
        <v>526</v>
      </c>
    </row>
    <row r="5" spans="1:29" ht="15">
      <c r="A5" s="517"/>
      <c r="B5" s="518"/>
      <c r="C5" s="3382" t="s">
        <v>2936</v>
      </c>
      <c r="D5" s="3383"/>
      <c r="E5" s="3402" t="s">
        <v>2937</v>
      </c>
      <c r="F5" s="340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43032</v>
      </c>
      <c r="D7" s="522">
        <v>100</v>
      </c>
      <c r="E7" s="523"/>
      <c r="F7" s="524">
        <f>SUMIF(52:52,YEAR(E7)&amp;"-"&amp;MONTH(E7),53:53)</f>
        <v>0</v>
      </c>
      <c r="G7" s="523"/>
      <c r="H7" s="522">
        <f>SUMIF(52:52,YEAR(G7)&amp;"-"&amp;MONTH(G7),53:53)</f>
        <v>0</v>
      </c>
      <c r="I7" s="523"/>
      <c r="J7" s="522">
        <f>SUMIF(52:52,YEAR(I7)&amp;"-"&amp;MONTH(I7),53:53)</f>
        <v>0</v>
      </c>
      <c r="K7" s="526"/>
      <c r="L7" s="2139"/>
      <c r="M7" s="2140"/>
      <c r="N7" s="2140"/>
      <c r="O7" s="2140"/>
      <c r="P7" s="3391" t="s">
        <v>531</v>
      </c>
      <c r="Q7" s="3393"/>
      <c r="R7" s="1571" t="s">
        <v>8</v>
      </c>
      <c r="S7" s="1572">
        <f t="shared" ref="S7:S15" si="0">F7</f>
        <v>0</v>
      </c>
      <c r="T7" s="1571" t="s">
        <v>8</v>
      </c>
      <c r="U7" s="1572">
        <f t="shared" ref="U7:U15" si="1">H7</f>
        <v>0</v>
      </c>
      <c r="V7" s="1571" t="s">
        <v>8</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SUMIF(55:55,E8,56:56)-SUMIF(55:55,C8,56:56)+100</f>
        <v>0</v>
      </c>
      <c r="G8" s="527"/>
      <c r="H8" s="522">
        <f>SUMIF(55:55,G8,56:56)-SUMIF(55:55,C8,56:56)+100</f>
        <v>0</v>
      </c>
      <c r="I8" s="527"/>
      <c r="J8" s="522">
        <f>SUMIF(55:55,I8,56:56)-SUMIF(55:55,C8,56:56)+100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40" si="3">D8/F8</f>
        <v>#DIV/0!</v>
      </c>
      <c r="AB8" s="1574" t="e">
        <f t="shared" ref="AB8:AB40" si="4">D8/H8</f>
        <v>#DIV/0!</v>
      </c>
      <c r="AC8" s="1574" t="e">
        <f t="shared" ref="AC8:AC40" si="5">D8/J8</f>
        <v>#DIV/0!</v>
      </c>
    </row>
    <row r="9" spans="1:29" s="1222" customFormat="1" ht="15">
      <c r="A9" s="2944"/>
      <c r="B9" s="2951" t="s">
        <v>2762</v>
      </c>
      <c r="C9" s="859"/>
      <c r="D9" s="253">
        <v>100</v>
      </c>
      <c r="E9" s="862"/>
      <c r="F9" s="253">
        <f>SUMIF(57:57,E9,58:58)-SUMIF(57:57,C9,58:58)+100</f>
        <v>100</v>
      </c>
      <c r="G9" s="860"/>
      <c r="H9" s="253">
        <f>SUMIF(57:57,G9,58:58)-SUMIF(57:57,C9,58:58)+100</f>
        <v>100</v>
      </c>
      <c r="I9" s="860"/>
      <c r="J9" s="253">
        <f>SUMIF(57:57,I9,58:58)-SUMIF(57:57,C9,58:58)+100</f>
        <v>100</v>
      </c>
      <c r="K9" s="526"/>
      <c r="L9" s="2139"/>
      <c r="M9" s="2140"/>
      <c r="N9" s="2140"/>
      <c r="O9" s="2141"/>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SUMIF(59:59,E10,60:60)-SUMIF(59:59,C10,60:60)+100</f>
        <v>100</v>
      </c>
      <c r="G10" s="864"/>
      <c r="H10" s="254">
        <f>SUMIF(59:59,G10,60:60)-SUMIF(59:59,C10,60:60)+100</f>
        <v>100</v>
      </c>
      <c r="I10" s="863"/>
      <c r="J10" s="254">
        <f>SUMIF(59:59,I10,60:60)-SUMIF(59:59,C10,60:60)+100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4"/>
      <c r="M11" s="2138"/>
      <c r="N11" s="2138"/>
      <c r="O11" s="2145"/>
      <c r="P11" s="3360"/>
      <c r="Q11" s="1153" t="str">
        <f t="shared" si="6"/>
        <v>容积率</v>
      </c>
      <c r="R11" s="1571" t="s">
        <v>8</v>
      </c>
      <c r="S11" s="1572" t="e">
        <f t="shared" si="0"/>
        <v>#N/A</v>
      </c>
      <c r="T11" s="1571" t="s">
        <v>8</v>
      </c>
      <c r="U11" s="1572" t="e">
        <f t="shared" si="1"/>
        <v>#N/A</v>
      </c>
      <c r="V11" s="1571" t="s">
        <v>8</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SUMIF(64:64,E12,65:65)-SUMIF(64:64,C12,65:65)+100</f>
        <v>100</v>
      </c>
      <c r="G12" s="922"/>
      <c r="H12" s="254">
        <f>SUMIF(64:64,G12,65:65)-SUMIF(64:64,C12,65:65)+100</f>
        <v>100</v>
      </c>
      <c r="I12" s="882"/>
      <c r="J12" s="254">
        <f>SUMIF(64:64,I12,65:65)-SUMIF(64:64,C12,65:65)+100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41"/>
      <c r="F13" s="254">
        <f>SUMIF(66:66,E13,67:67)-SUMIF(66:66,C13,67:67)+100</f>
        <v>100</v>
      </c>
      <c r="G13" s="922"/>
      <c r="H13" s="542">
        <f>SUMIF(66:66,G13,67:67)-SUMIF(66:66,C13,67:67)+100</f>
        <v>100</v>
      </c>
      <c r="I13" s="882"/>
      <c r="J13" s="542">
        <f>SUMIF(66:66,I13,67:67)-SUMIF(66:66,C13,67:67)+100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547"/>
      <c r="F14" s="548">
        <f>SUMIF(68:68,E14,69:69)-SUMIF(68:68,C14,69:69)+100</f>
        <v>100</v>
      </c>
      <c r="G14" s="922"/>
      <c r="H14" s="548">
        <f>SUMIF(68:68,G14,69:69)-SUMIF(68:68,C14,69:69)+100</f>
        <v>100</v>
      </c>
      <c r="I14" s="882"/>
      <c r="J14" s="548">
        <f>SUMIF(68:68,I14,69:69)-SUMIF(68:68,C14,69:69)+100</f>
        <v>100</v>
      </c>
      <c r="K14" s="583"/>
      <c r="L14" s="2146"/>
      <c r="M14" s="2138"/>
      <c r="N14" s="2138"/>
      <c r="O14" s="2145"/>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 t="shared" si="3"/>
        <v>1</v>
      </c>
      <c r="AB14" s="1574">
        <f t="shared" si="4"/>
        <v>1</v>
      </c>
      <c r="AC14" s="1574">
        <f t="shared" si="5"/>
        <v>1</v>
      </c>
    </row>
    <row r="15" spans="1:29" ht="57">
      <c r="A15" s="2940" t="s">
        <v>2760</v>
      </c>
      <c r="B15" s="166" t="s">
        <v>790</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6"/>
      <c r="M15" s="2138"/>
      <c r="N15" s="2138"/>
      <c r="O15" s="2145"/>
      <c r="P15" s="3394" t="s">
        <v>541</v>
      </c>
      <c r="Q15" s="1575" t="str">
        <f t="shared" si="6"/>
        <v>产业集聚程度</v>
      </c>
      <c r="R15" s="1576" t="s">
        <v>8</v>
      </c>
      <c r="S15" s="1577">
        <f t="shared" si="0"/>
        <v>100</v>
      </c>
      <c r="T15" s="1576" t="s">
        <v>8</v>
      </c>
      <c r="U15" s="1577">
        <f t="shared" si="1"/>
        <v>100</v>
      </c>
      <c r="V15" s="1576" t="s">
        <v>8</v>
      </c>
      <c r="W15" s="1577">
        <f t="shared" si="2"/>
        <v>100</v>
      </c>
      <c r="X15" s="1570"/>
      <c r="Y15" s="3394"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95"/>
      <c r="Q16" s="1575"/>
      <c r="R16" s="1576"/>
      <c r="S16" s="1577"/>
      <c r="T16" s="1576"/>
      <c r="U16" s="1577"/>
      <c r="V16" s="1576"/>
      <c r="W16" s="1577"/>
      <c r="X16" s="1570"/>
      <c r="Y16" s="3395"/>
      <c r="Z16" s="1578"/>
      <c r="AA16" s="1579">
        <v>1</v>
      </c>
      <c r="AB16" s="1579">
        <v>1</v>
      </c>
      <c r="AC16" s="1579">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6"/>
      <c r="M17" s="2138"/>
      <c r="N17" s="2138"/>
      <c r="O17" s="2145"/>
      <c r="P17" s="3395"/>
      <c r="Q17" s="1575" t="str">
        <f>B17</f>
        <v>交通便捷度</v>
      </c>
      <c r="R17" s="1576" t="s">
        <v>8</v>
      </c>
      <c r="S17" s="1577">
        <f>F17</f>
        <v>100</v>
      </c>
      <c r="T17" s="1576" t="s">
        <v>8</v>
      </c>
      <c r="U17" s="1577">
        <f>H17</f>
        <v>100</v>
      </c>
      <c r="V17" s="1576" t="s">
        <v>8</v>
      </c>
      <c r="W17" s="1577">
        <f>J17</f>
        <v>100</v>
      </c>
      <c r="X17" s="1570"/>
      <c r="Y17" s="3395"/>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95"/>
      <c r="Q18" s="1575"/>
      <c r="R18" s="1576"/>
      <c r="S18" s="1577"/>
      <c r="T18" s="1576"/>
      <c r="U18" s="1577"/>
      <c r="V18" s="1576"/>
      <c r="W18" s="1577"/>
      <c r="X18" s="1570"/>
      <c r="Y18" s="3395"/>
      <c r="Z18" s="1578"/>
      <c r="AA18" s="1579">
        <v>1</v>
      </c>
      <c r="AB18" s="1579">
        <v>1</v>
      </c>
      <c r="AC18" s="1579">
        <v>1</v>
      </c>
    </row>
    <row r="19" spans="1:29" ht="42.75">
      <c r="A19" s="534"/>
      <c r="B19" s="2631" t="s">
        <v>2550</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6"/>
      <c r="M19" s="2138"/>
      <c r="N19" s="2138"/>
      <c r="O19" s="2145"/>
      <c r="P19" s="3395"/>
      <c r="Q19" s="1575" t="str">
        <f>B19</f>
        <v>公共配套设施</v>
      </c>
      <c r="R19" s="1576" t="s">
        <v>8</v>
      </c>
      <c r="S19" s="1577">
        <f>F19</f>
        <v>100</v>
      </c>
      <c r="T19" s="1576" t="s">
        <v>8</v>
      </c>
      <c r="U19" s="1577">
        <f>H19</f>
        <v>100</v>
      </c>
      <c r="V19" s="1576" t="s">
        <v>8</v>
      </c>
      <c r="W19" s="1577">
        <f>J19</f>
        <v>100</v>
      </c>
      <c r="X19" s="1570"/>
      <c r="Y19" s="3395"/>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1"/>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8.5">
      <c r="A21" s="534"/>
      <c r="B21" s="2619" t="s">
        <v>2562</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6"/>
      <c r="M21" s="2138"/>
      <c r="N21" s="2138"/>
      <c r="O21" s="2145"/>
      <c r="P21" s="3395"/>
      <c r="Q21" s="2607" t="str">
        <f>B21</f>
        <v>基础设施水平</v>
      </c>
      <c r="R21" s="1576" t="s">
        <v>8</v>
      </c>
      <c r="S21" s="1577">
        <f>F21</f>
        <v>100</v>
      </c>
      <c r="T21" s="1576" t="s">
        <v>8</v>
      </c>
      <c r="U21" s="1577">
        <f>H21</f>
        <v>100</v>
      </c>
      <c r="V21" s="1576" t="s">
        <v>8</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0"/>
      <c r="L22" s="2146"/>
      <c r="M22" s="2138"/>
      <c r="N22" s="2138"/>
      <c r="O22" s="2145"/>
      <c r="P22" s="3395"/>
      <c r="Q22" s="2607"/>
      <c r="R22" s="1576"/>
      <c r="S22" s="1577"/>
      <c r="T22" s="1576"/>
      <c r="U22" s="1577"/>
      <c r="V22" s="1576"/>
      <c r="W22" s="1577"/>
      <c r="X22" s="2609"/>
      <c r="Y22" s="3395"/>
      <c r="Z22" s="2608"/>
      <c r="AA22" s="1579">
        <v>1</v>
      </c>
      <c r="AB22" s="1579">
        <v>1</v>
      </c>
      <c r="AC22" s="1579">
        <v>1</v>
      </c>
    </row>
    <row r="23" spans="1:29" ht="71.25">
      <c r="A23" s="534"/>
      <c r="B23" s="873" t="s">
        <v>779</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6"/>
      <c r="M23" s="2138"/>
      <c r="N23" s="2138"/>
      <c r="O23" s="2145"/>
      <c r="P23" s="3395"/>
      <c r="Q23" s="1575" t="str">
        <f>B23</f>
        <v>环境质量</v>
      </c>
      <c r="R23" s="1576" t="s">
        <v>8</v>
      </c>
      <c r="S23" s="1577">
        <f>F23</f>
        <v>100</v>
      </c>
      <c r="T23" s="1576" t="s">
        <v>8</v>
      </c>
      <c r="U23" s="1577">
        <f>H23</f>
        <v>100</v>
      </c>
      <c r="V23" s="1576" t="s">
        <v>8</v>
      </c>
      <c r="W23" s="1577">
        <f>J23</f>
        <v>100</v>
      </c>
      <c r="X23" s="1570"/>
      <c r="Y23" s="3395"/>
      <c r="Z23" s="1578" t="str">
        <f>Q23</f>
        <v>环境质量</v>
      </c>
      <c r="AA23" s="1579">
        <f t="shared" si="3"/>
        <v>1</v>
      </c>
      <c r="AB23" s="1579">
        <f t="shared" si="4"/>
        <v>1</v>
      </c>
      <c r="AC23" s="1579">
        <f t="shared" si="5"/>
        <v>1</v>
      </c>
    </row>
    <row r="24" spans="1:29" ht="15">
      <c r="A24" s="534"/>
      <c r="B24" s="924"/>
      <c r="C24" s="578"/>
      <c r="D24" s="557"/>
      <c r="E24" s="558"/>
      <c r="F24" s="559"/>
      <c r="G24" s="560"/>
      <c r="H24" s="557"/>
      <c r="I24" s="558"/>
      <c r="J24" s="557"/>
      <c r="K24" s="901"/>
      <c r="L24" s="2146"/>
      <c r="M24" s="2138"/>
      <c r="N24" s="2138"/>
      <c r="O24" s="2145"/>
      <c r="P24" s="3395"/>
      <c r="Q24" s="1575"/>
      <c r="R24" s="1576"/>
      <c r="S24" s="1577"/>
      <c r="T24" s="1576"/>
      <c r="U24" s="1577"/>
      <c r="V24" s="1576"/>
      <c r="W24" s="1577"/>
      <c r="X24" s="1570"/>
      <c r="Y24" s="3395"/>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6"/>
      <c r="M25" s="2138"/>
      <c r="N25" s="2138"/>
      <c r="O25" s="2145"/>
      <c r="P25" s="3395"/>
      <c r="Q25" s="1575">
        <f>B25</f>
        <v>111</v>
      </c>
      <c r="R25" s="1576" t="s">
        <v>8</v>
      </c>
      <c r="S25" s="1577">
        <f>F25</f>
        <v>100</v>
      </c>
      <c r="T25" s="1576" t="s">
        <v>8</v>
      </c>
      <c r="U25" s="1577">
        <f>H25</f>
        <v>100</v>
      </c>
      <c r="V25" s="1576" t="s">
        <v>8</v>
      </c>
      <c r="W25" s="1577">
        <f>J25</f>
        <v>100</v>
      </c>
      <c r="X25" s="1570"/>
      <c r="Y25" s="3395"/>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6"/>
      <c r="M26" s="2138"/>
      <c r="N26" s="2138"/>
      <c r="O26" s="2145"/>
      <c r="P26" s="3395"/>
      <c r="Q26" s="1575">
        <f t="shared" ref="Q26:Q40" si="11">B26</f>
        <v>111</v>
      </c>
      <c r="R26" s="1576" t="s">
        <v>8</v>
      </c>
      <c r="S26" s="1577">
        <f>F26</f>
        <v>100</v>
      </c>
      <c r="T26" s="1576" t="s">
        <v>8</v>
      </c>
      <c r="U26" s="1577">
        <f>H26</f>
        <v>100</v>
      </c>
      <c r="V26" s="1576" t="s">
        <v>8</v>
      </c>
      <c r="W26" s="1577">
        <f>J26</f>
        <v>100</v>
      </c>
      <c r="X26" s="1570"/>
      <c r="Y26" s="3395"/>
      <c r="Z26" s="1578">
        <f>Q26</f>
        <v>111</v>
      </c>
      <c r="AA26" s="1579">
        <f t="shared" si="3"/>
        <v>1</v>
      </c>
      <c r="AB26" s="1579">
        <f t="shared" si="4"/>
        <v>1</v>
      </c>
      <c r="AC26" s="1579">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9"/>
      <c r="M27" s="2140"/>
      <c r="N27" s="2140"/>
      <c r="O27" s="2141"/>
      <c r="P27" s="3395"/>
      <c r="Q27" s="1153">
        <f t="shared" si="11"/>
        <v>111</v>
      </c>
      <c r="R27" s="1571" t="s">
        <v>8</v>
      </c>
      <c r="S27" s="1572">
        <f>F27</f>
        <v>100</v>
      </c>
      <c r="T27" s="1571" t="s">
        <v>8</v>
      </c>
      <c r="U27" s="1572">
        <f>H27</f>
        <v>100</v>
      </c>
      <c r="V27" s="1571" t="s">
        <v>8</v>
      </c>
      <c r="W27" s="1572">
        <f>J27</f>
        <v>100</v>
      </c>
      <c r="X27" s="1573"/>
      <c r="Y27" s="3395"/>
      <c r="Z27" s="1152">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6"/>
      <c r="M28" s="2138"/>
      <c r="N28" s="2138"/>
      <c r="O28" s="2145"/>
      <c r="P28" s="3395"/>
      <c r="Q28" s="1575">
        <f t="shared" si="11"/>
        <v>111</v>
      </c>
      <c r="R28" s="1576" t="s">
        <v>8</v>
      </c>
      <c r="S28" s="1577">
        <f t="shared" ref="S28:S40" si="12">F28</f>
        <v>100</v>
      </c>
      <c r="T28" s="1576" t="s">
        <v>8</v>
      </c>
      <c r="U28" s="1577">
        <f t="shared" ref="U28:U40" si="13">H28</f>
        <v>100</v>
      </c>
      <c r="V28" s="1576" t="s">
        <v>8</v>
      </c>
      <c r="W28" s="1577">
        <f t="shared" ref="W28:W40" si="14">J28</f>
        <v>100</v>
      </c>
      <c r="X28" s="1570"/>
      <c r="Y28" s="3395"/>
      <c r="Z28" s="1578">
        <f t="shared" ref="Z28:Z40" si="15">Q28</f>
        <v>111</v>
      </c>
      <c r="AA28" s="1579">
        <f t="shared" si="3"/>
        <v>1</v>
      </c>
      <c r="AB28" s="1579">
        <f t="shared" si="4"/>
        <v>1</v>
      </c>
      <c r="AC28" s="1579">
        <f t="shared" si="5"/>
        <v>1</v>
      </c>
    </row>
    <row r="29" spans="1:29" ht="15">
      <c r="A29" s="2937" t="s">
        <v>2761</v>
      </c>
      <c r="B29" s="172" t="s">
        <v>781</v>
      </c>
      <c r="C29" s="918"/>
      <c r="D29" s="599">
        <v>100</v>
      </c>
      <c r="E29" s="918"/>
      <c r="F29" s="577">
        <f>SUMIF(88:88,E29,89:89)-SUMIF(88:88,C29,89:89)+100</f>
        <v>100</v>
      </c>
      <c r="G29" s="918"/>
      <c r="H29" s="542">
        <f>SUMIF(88:88,G29,89:89)-SUMIF(88:88,C29,89:89)+100</f>
        <v>100</v>
      </c>
      <c r="I29" s="918"/>
      <c r="J29" s="599">
        <f>SUMIF(88:88,I29,89:89)-SUMIF(88:88,C29,89:89)+100</f>
        <v>100</v>
      </c>
      <c r="K29" s="586"/>
      <c r="L29" s="2146"/>
      <c r="M29" s="2138"/>
      <c r="N29" s="2138"/>
      <c r="O29" s="2145"/>
      <c r="P29" s="3396" t="s">
        <v>551</v>
      </c>
      <c r="Q29" s="1575" t="str">
        <f t="shared" si="11"/>
        <v>建筑类型</v>
      </c>
      <c r="R29" s="1576" t="s">
        <v>8</v>
      </c>
      <c r="S29" s="1577">
        <f t="shared" si="12"/>
        <v>100</v>
      </c>
      <c r="T29" s="1576" t="s">
        <v>8</v>
      </c>
      <c r="U29" s="1577">
        <f t="shared" si="13"/>
        <v>100</v>
      </c>
      <c r="V29" s="1576" t="s">
        <v>8</v>
      </c>
      <c r="W29" s="1577">
        <f t="shared" si="14"/>
        <v>100</v>
      </c>
      <c r="X29" s="1570"/>
      <c r="Y29" s="3397" t="s">
        <v>551</v>
      </c>
      <c r="Z29" s="1578" t="str">
        <f t="shared" si="15"/>
        <v>建筑类型</v>
      </c>
      <c r="AA29" s="1579">
        <f t="shared" si="3"/>
        <v>1</v>
      </c>
      <c r="AB29" s="1579">
        <f t="shared" si="4"/>
        <v>1</v>
      </c>
      <c r="AC29" s="1579">
        <f t="shared" si="5"/>
        <v>1</v>
      </c>
    </row>
    <row r="30" spans="1:29" s="1341" customFormat="1" ht="15">
      <c r="A30" s="605"/>
      <c r="B30" s="529" t="s">
        <v>727</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4"/>
      <c r="M30" s="2175"/>
      <c r="N30" s="2175"/>
      <c r="O30" s="2147"/>
      <c r="P30" s="3397"/>
      <c r="Q30" s="1608" t="str">
        <f t="shared" si="11"/>
        <v>项目建筑规模</v>
      </c>
      <c r="R30" s="1580" t="s">
        <v>8</v>
      </c>
      <c r="S30" s="1581" t="e">
        <f t="shared" si="12"/>
        <v>#N/A</v>
      </c>
      <c r="T30" s="1580" t="s">
        <v>8</v>
      </c>
      <c r="U30" s="1581" t="e">
        <f t="shared" si="13"/>
        <v>#N/A</v>
      </c>
      <c r="V30" s="1580" t="s">
        <v>8</v>
      </c>
      <c r="W30" s="1581" t="e">
        <f t="shared" si="14"/>
        <v>#N/A</v>
      </c>
      <c r="X30" s="1582"/>
      <c r="Y30" s="3397"/>
      <c r="Z30" s="1583" t="str">
        <f t="shared" si="15"/>
        <v>项目建筑规模</v>
      </c>
      <c r="AA30" s="1579" t="e">
        <f t="shared" si="3"/>
        <v>#N/A</v>
      </c>
      <c r="AB30" s="1579" t="e">
        <f t="shared" si="4"/>
        <v>#N/A</v>
      </c>
      <c r="AC30" s="1579" t="e">
        <f t="shared" si="5"/>
        <v>#N/A</v>
      </c>
    </row>
    <row r="31" spans="1:29" ht="15">
      <c r="A31" s="596"/>
      <c r="B31" s="529" t="s">
        <v>728</v>
      </c>
      <c r="C31" s="576"/>
      <c r="D31" s="542">
        <v>100</v>
      </c>
      <c r="E31" s="576"/>
      <c r="F31" s="577">
        <f>SUMIF(93:93,E31,94:94)-SUMIF(93:93,C31,94:94)+100</f>
        <v>100</v>
      </c>
      <c r="G31" s="576"/>
      <c r="H31" s="542">
        <f>SUMIF(93:93,G31,94:94)-SUMIF(93:93,C31,94:94)+100</f>
        <v>100</v>
      </c>
      <c r="I31" s="576"/>
      <c r="J31" s="542">
        <f>SUMIF(93:93,I31,94:94)-SUMIF(93:93,C31,94:94)+100</f>
        <v>100</v>
      </c>
      <c r="K31" s="586"/>
      <c r="L31" s="2146"/>
      <c r="M31" s="2138"/>
      <c r="N31" s="2138"/>
      <c r="O31" s="2145"/>
      <c r="P31" s="3397"/>
      <c r="Q31" s="1575" t="str">
        <f t="shared" si="11"/>
        <v>建筑结构</v>
      </c>
      <c r="R31" s="1576" t="s">
        <v>8</v>
      </c>
      <c r="S31" s="1577">
        <f t="shared" si="12"/>
        <v>100</v>
      </c>
      <c r="T31" s="1576" t="s">
        <v>8</v>
      </c>
      <c r="U31" s="1577">
        <f t="shared" si="13"/>
        <v>100</v>
      </c>
      <c r="V31" s="1576" t="s">
        <v>8</v>
      </c>
      <c r="W31" s="1577">
        <f t="shared" si="14"/>
        <v>100</v>
      </c>
      <c r="X31" s="1570"/>
      <c r="Y31" s="3397"/>
      <c r="Z31" s="1578" t="str">
        <f t="shared" si="15"/>
        <v>建筑结构</v>
      </c>
      <c r="AA31" s="1579">
        <f t="shared" si="3"/>
        <v>1</v>
      </c>
      <c r="AB31" s="1579">
        <f t="shared" si="4"/>
        <v>1</v>
      </c>
      <c r="AC31" s="1579">
        <f t="shared" si="5"/>
        <v>1</v>
      </c>
    </row>
    <row r="32" spans="1:29" ht="15">
      <c r="A32" s="596"/>
      <c r="B32" s="529" t="s">
        <v>764</v>
      </c>
      <c r="C32" s="576"/>
      <c r="D32" s="542">
        <v>100</v>
      </c>
      <c r="E32" s="576"/>
      <c r="F32" s="577">
        <f>SUMIF(95:95,E32,96:96)-SUMIF(95:95,C32,96:96)+100</f>
        <v>100</v>
      </c>
      <c r="G32" s="576"/>
      <c r="H32" s="542">
        <f>SUMIF(95:95,G32,96:96)-SUMIF(95:95,C32,96:96)+100</f>
        <v>100</v>
      </c>
      <c r="I32" s="576"/>
      <c r="J32" s="542">
        <f>SUMIF(95:95,I32,96:96)-SUMIF(95:95,C32,96:96)+100</f>
        <v>100</v>
      </c>
      <c r="K32" s="586"/>
      <c r="L32" s="2146"/>
      <c r="M32" s="2138"/>
      <c r="N32" s="2138"/>
      <c r="O32" s="2145"/>
      <c r="P32" s="3397"/>
      <c r="Q32" s="1575" t="str">
        <f t="shared" si="11"/>
        <v>公共部分装修</v>
      </c>
      <c r="R32" s="1576" t="s">
        <v>8</v>
      </c>
      <c r="S32" s="1577">
        <f t="shared" si="12"/>
        <v>100</v>
      </c>
      <c r="T32" s="1576" t="s">
        <v>8</v>
      </c>
      <c r="U32" s="1577">
        <f t="shared" si="13"/>
        <v>100</v>
      </c>
      <c r="V32" s="1576" t="s">
        <v>8</v>
      </c>
      <c r="W32" s="1577">
        <f t="shared" si="14"/>
        <v>100</v>
      </c>
      <c r="X32" s="1570"/>
      <c r="Y32" s="3397"/>
      <c r="Z32" s="1578" t="str">
        <f t="shared" si="15"/>
        <v>公共部分装修</v>
      </c>
      <c r="AA32" s="1579">
        <f t="shared" si="3"/>
        <v>1</v>
      </c>
      <c r="AB32" s="1579">
        <f t="shared" si="4"/>
        <v>1</v>
      </c>
      <c r="AC32" s="1579">
        <f t="shared" si="5"/>
        <v>1</v>
      </c>
    </row>
    <row r="33" spans="1:29" ht="15">
      <c r="A33" s="596"/>
      <c r="B33" s="529" t="s">
        <v>765</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6"/>
      <c r="M33" s="2138"/>
      <c r="N33" s="2138"/>
      <c r="O33" s="2145"/>
      <c r="P33" s="3397"/>
      <c r="Q33" s="1575" t="str">
        <f t="shared" si="11"/>
        <v>成新度</v>
      </c>
      <c r="R33" s="1576" t="s">
        <v>8</v>
      </c>
      <c r="S33" s="1577" t="e">
        <f t="shared" si="12"/>
        <v>#N/A</v>
      </c>
      <c r="T33" s="1576" t="s">
        <v>8</v>
      </c>
      <c r="U33" s="1577" t="e">
        <f t="shared" si="13"/>
        <v>#N/A</v>
      </c>
      <c r="V33" s="1576" t="s">
        <v>8</v>
      </c>
      <c r="W33" s="1577" t="e">
        <f t="shared" si="14"/>
        <v>#N/A</v>
      </c>
      <c r="X33" s="1570"/>
      <c r="Y33" s="3397"/>
      <c r="Z33" s="1578" t="str">
        <f t="shared" si="15"/>
        <v>成新度</v>
      </c>
      <c r="AA33" s="1579" t="e">
        <f t="shared" si="3"/>
        <v>#N/A</v>
      </c>
      <c r="AB33" s="1579" t="e">
        <f t="shared" si="4"/>
        <v>#N/A</v>
      </c>
      <c r="AC33" s="1579" t="e">
        <f t="shared" si="5"/>
        <v>#N/A</v>
      </c>
    </row>
    <row r="34" spans="1:29" s="1222" customFormat="1" ht="15">
      <c r="A34" s="602"/>
      <c r="B34" s="529" t="s">
        <v>783</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9"/>
      <c r="M34" s="2140"/>
      <c r="N34" s="2140"/>
      <c r="O34" s="2141"/>
      <c r="P34" s="3397"/>
      <c r="Q34" s="1153" t="str">
        <f t="shared" si="11"/>
        <v>物业管理</v>
      </c>
      <c r="R34" s="1571" t="s">
        <v>8</v>
      </c>
      <c r="S34" s="1572">
        <f t="shared" si="12"/>
        <v>100</v>
      </c>
      <c r="T34" s="1571" t="s">
        <v>8</v>
      </c>
      <c r="U34" s="1572">
        <f t="shared" si="13"/>
        <v>100</v>
      </c>
      <c r="V34" s="1571" t="s">
        <v>8</v>
      </c>
      <c r="W34" s="1572">
        <f t="shared" si="14"/>
        <v>100</v>
      </c>
      <c r="X34" s="1573"/>
      <c r="Y34" s="3397"/>
      <c r="Z34" s="1152" t="str">
        <f t="shared" si="15"/>
        <v>物业管理</v>
      </c>
      <c r="AA34" s="1574">
        <f t="shared" si="3"/>
        <v>1</v>
      </c>
      <c r="AB34" s="1574">
        <f t="shared" si="4"/>
        <v>1</v>
      </c>
      <c r="AC34" s="1574">
        <f t="shared" si="5"/>
        <v>1</v>
      </c>
    </row>
    <row r="35" spans="1:29" ht="15">
      <c r="A35" s="596"/>
      <c r="B35" s="1899" t="s">
        <v>2569</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6"/>
      <c r="M35" s="2138"/>
      <c r="N35" s="2138"/>
      <c r="O35" s="2145"/>
      <c r="P35" s="3397" t="s">
        <v>551</v>
      </c>
      <c r="Q35" s="1575" t="str">
        <f t="shared" si="11"/>
        <v>市政基础设施</v>
      </c>
      <c r="R35" s="1576" t="s">
        <v>8</v>
      </c>
      <c r="S35" s="1577">
        <f t="shared" si="12"/>
        <v>100</v>
      </c>
      <c r="T35" s="1576" t="s">
        <v>8</v>
      </c>
      <c r="U35" s="1577">
        <f t="shared" si="13"/>
        <v>100</v>
      </c>
      <c r="V35" s="1576" t="s">
        <v>8</v>
      </c>
      <c r="W35" s="1577">
        <f t="shared" si="14"/>
        <v>100</v>
      </c>
      <c r="X35" s="1570"/>
      <c r="Y35" s="3397" t="s">
        <v>551</v>
      </c>
      <c r="Z35" s="1578" t="str">
        <f t="shared" si="15"/>
        <v>市政基础设施</v>
      </c>
      <c r="AA35" s="1579">
        <f t="shared" si="3"/>
        <v>1</v>
      </c>
      <c r="AB35" s="1579">
        <f t="shared" si="4"/>
        <v>1</v>
      </c>
      <c r="AC35" s="1579">
        <f t="shared" si="5"/>
        <v>1</v>
      </c>
    </row>
    <row r="36" spans="1:29" ht="15">
      <c r="A36" s="596"/>
      <c r="B36" s="529" t="s">
        <v>771</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6"/>
      <c r="M36" s="2138"/>
      <c r="N36" s="2138"/>
      <c r="O36" s="2145"/>
      <c r="P36" s="3397"/>
      <c r="Q36" s="1575" t="str">
        <f t="shared" si="11"/>
        <v>内部装修</v>
      </c>
      <c r="R36" s="1576" t="s">
        <v>8</v>
      </c>
      <c r="S36" s="1577">
        <f t="shared" si="12"/>
        <v>100</v>
      </c>
      <c r="T36" s="1576" t="s">
        <v>8</v>
      </c>
      <c r="U36" s="1577">
        <f t="shared" si="13"/>
        <v>100</v>
      </c>
      <c r="V36" s="1576" t="s">
        <v>8</v>
      </c>
      <c r="W36" s="1577">
        <f t="shared" si="14"/>
        <v>100</v>
      </c>
      <c r="X36" s="1570"/>
      <c r="Y36" s="3397"/>
      <c r="Z36" s="1578" t="str">
        <f t="shared" si="15"/>
        <v>内部装修</v>
      </c>
      <c r="AA36" s="1579">
        <f t="shared" si="3"/>
        <v>1</v>
      </c>
      <c r="AB36" s="1579">
        <f t="shared" si="4"/>
        <v>1</v>
      </c>
      <c r="AC36" s="1579">
        <f t="shared" si="5"/>
        <v>1</v>
      </c>
    </row>
    <row r="37" spans="1:29" ht="15">
      <c r="A37" s="596"/>
      <c r="B37" s="529" t="s">
        <v>791</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6"/>
      <c r="M37" s="2138"/>
      <c r="N37" s="2138"/>
      <c r="O37" s="2145"/>
      <c r="P37" s="3397"/>
      <c r="Q37" s="1575" t="str">
        <f t="shared" si="11"/>
        <v>内部装修状况</v>
      </c>
      <c r="R37" s="1576" t="s">
        <v>8</v>
      </c>
      <c r="S37" s="1577">
        <f t="shared" si="12"/>
        <v>100</v>
      </c>
      <c r="T37" s="1576" t="s">
        <v>8</v>
      </c>
      <c r="U37" s="1577">
        <f t="shared" si="13"/>
        <v>100</v>
      </c>
      <c r="V37" s="1576" t="s">
        <v>8</v>
      </c>
      <c r="W37" s="1577">
        <f t="shared" si="14"/>
        <v>100</v>
      </c>
      <c r="X37" s="1570"/>
      <c r="Y37" s="3397"/>
      <c r="Z37" s="1578" t="str">
        <f t="shared" si="15"/>
        <v>内部装修状况</v>
      </c>
      <c r="AA37" s="1579">
        <f t="shared" si="3"/>
        <v>1</v>
      </c>
      <c r="AB37" s="1579">
        <f t="shared" si="4"/>
        <v>1</v>
      </c>
      <c r="AC37" s="1579">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4"/>
      <c r="M38" s="2175"/>
      <c r="N38" s="2175"/>
      <c r="O38" s="2147"/>
      <c r="P38" s="3397"/>
      <c r="Q38" s="1608">
        <f t="shared" si="11"/>
        <v>111</v>
      </c>
      <c r="R38" s="1580" t="s">
        <v>8</v>
      </c>
      <c r="S38" s="1581">
        <f t="shared" si="12"/>
        <v>100</v>
      </c>
      <c r="T38" s="1580" t="s">
        <v>8</v>
      </c>
      <c r="U38" s="1581">
        <f t="shared" si="13"/>
        <v>100</v>
      </c>
      <c r="V38" s="1580" t="s">
        <v>8</v>
      </c>
      <c r="W38" s="1581">
        <f t="shared" si="14"/>
        <v>100</v>
      </c>
      <c r="X38" s="1582"/>
      <c r="Y38" s="3397"/>
      <c r="Z38" s="1583">
        <f t="shared" si="15"/>
        <v>111</v>
      </c>
      <c r="AA38" s="1579">
        <f t="shared" si="3"/>
        <v>1</v>
      </c>
      <c r="AB38" s="1579">
        <f t="shared" si="4"/>
        <v>1</v>
      </c>
      <c r="AC38" s="1579">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6"/>
      <c r="M39" s="2138"/>
      <c r="N39" s="2138"/>
      <c r="O39" s="2145"/>
      <c r="P39" s="3397"/>
      <c r="Q39" s="1575">
        <f t="shared" si="11"/>
        <v>111</v>
      </c>
      <c r="R39" s="1576" t="s">
        <v>8</v>
      </c>
      <c r="S39" s="1577">
        <f t="shared" si="12"/>
        <v>100</v>
      </c>
      <c r="T39" s="1576" t="s">
        <v>8</v>
      </c>
      <c r="U39" s="1577">
        <f t="shared" si="13"/>
        <v>100</v>
      </c>
      <c r="V39" s="1576" t="s">
        <v>8</v>
      </c>
      <c r="W39" s="1577">
        <f t="shared" si="14"/>
        <v>100</v>
      </c>
      <c r="X39" s="1570"/>
      <c r="Y39" s="3397"/>
      <c r="Z39" s="1578">
        <f t="shared" si="15"/>
        <v>111</v>
      </c>
      <c r="AA39" s="1579">
        <f t="shared" si="3"/>
        <v>1</v>
      </c>
      <c r="AB39" s="1579">
        <f t="shared" si="4"/>
        <v>1</v>
      </c>
      <c r="AC39" s="1579">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6"/>
      <c r="M40" s="2138"/>
      <c r="N40" s="2138"/>
      <c r="O40" s="2145"/>
      <c r="P40" s="3474"/>
      <c r="Q40" s="1575">
        <f t="shared" si="11"/>
        <v>111</v>
      </c>
      <c r="R40" s="1576" t="s">
        <v>8</v>
      </c>
      <c r="S40" s="1577">
        <f t="shared" si="12"/>
        <v>100</v>
      </c>
      <c r="T40" s="1576" t="s">
        <v>8</v>
      </c>
      <c r="U40" s="1577">
        <f t="shared" si="13"/>
        <v>100</v>
      </c>
      <c r="V40" s="1576" t="s">
        <v>8</v>
      </c>
      <c r="W40" s="1577">
        <f t="shared" si="14"/>
        <v>100</v>
      </c>
      <c r="X40" s="1570"/>
      <c r="Y40" s="3474"/>
      <c r="Z40" s="1578">
        <f t="shared" si="15"/>
        <v>111</v>
      </c>
      <c r="AA40" s="1579">
        <f t="shared" si="3"/>
        <v>1</v>
      </c>
      <c r="AB40" s="1579">
        <f t="shared" si="4"/>
        <v>1</v>
      </c>
      <c r="AC40" s="1579">
        <f t="shared" si="5"/>
        <v>1</v>
      </c>
    </row>
    <row r="41" spans="1:29" ht="15">
      <c r="A41" s="609" t="s">
        <v>737</v>
      </c>
      <c r="B41" s="889"/>
      <c r="C41" s="2655" t="s">
        <v>1</v>
      </c>
      <c r="D41" s="2656"/>
      <c r="E41" s="2657"/>
      <c r="F41" s="2658"/>
      <c r="G41" s="2659"/>
      <c r="H41" s="2660"/>
      <c r="I41" s="2657"/>
      <c r="J41" s="2660"/>
      <c r="K41" s="1614"/>
      <c r="L41" s="2148"/>
      <c r="M41" s="2149"/>
      <c r="N41" s="2138"/>
      <c r="O41" s="2149"/>
      <c r="P41" s="3360" t="str">
        <f>A41</f>
        <v>成交单价（元/平方米）</v>
      </c>
      <c r="Q41" s="3360"/>
      <c r="R41" s="3473">
        <f>E41</f>
        <v>0</v>
      </c>
      <c r="S41" s="3473"/>
      <c r="T41" s="3473">
        <f>G41</f>
        <v>0</v>
      </c>
      <c r="U41" s="3473"/>
      <c r="V41" s="3473">
        <f>I41</f>
        <v>0</v>
      </c>
      <c r="W41" s="3473"/>
      <c r="X41" s="1562"/>
      <c r="Y41" s="1584"/>
      <c r="Z41" s="1562"/>
      <c r="AA41" s="1562"/>
      <c r="AB41" s="1562"/>
      <c r="AC41" s="1562"/>
    </row>
    <row r="42" spans="1:29" ht="15.75" thickBot="1">
      <c r="A42" s="617" t="s">
        <v>2766</v>
      </c>
      <c r="B42" s="890"/>
      <c r="C42" s="2661" t="e">
        <f>R43</f>
        <v>#DIV/0!</v>
      </c>
      <c r="D42" s="2662"/>
      <c r="E42" s="2663" t="e">
        <f>R42</f>
        <v>#DIV/0!</v>
      </c>
      <c r="F42" s="2663"/>
      <c r="G42" s="2661" t="e">
        <f>T42</f>
        <v>#DIV/0!</v>
      </c>
      <c r="H42" s="2662"/>
      <c r="I42" s="2663" t="e">
        <f>V42</f>
        <v>#DIV/0!</v>
      </c>
      <c r="J42" s="2662"/>
      <c r="K42" s="1615"/>
      <c r="L42" s="2148"/>
      <c r="M42" s="2149"/>
      <c r="N42" s="2138"/>
      <c r="O42" s="2149"/>
      <c r="P42" s="3360" t="str">
        <f>A42</f>
        <v>比较价格（元/平方米）</v>
      </c>
      <c r="Q42" s="3360"/>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62"/>
      <c r="Y42" s="1562"/>
      <c r="Z42" s="1562"/>
      <c r="AA42" s="1562"/>
      <c r="AB42" s="1562"/>
      <c r="AC42" s="1562"/>
    </row>
    <row r="43" spans="1:29" ht="15.75" thickBot="1">
      <c r="A43" s="623" t="s">
        <v>2942</v>
      </c>
      <c r="B43" s="624"/>
      <c r="C43" s="2664" t="e">
        <f>R43</f>
        <v>#DIV/0!</v>
      </c>
      <c r="D43" s="2664"/>
      <c r="E43" s="2664"/>
      <c r="F43" s="2664"/>
      <c r="G43" s="2664"/>
      <c r="H43" s="2664"/>
      <c r="I43" s="2664"/>
      <c r="J43" s="2664"/>
      <c r="K43" s="1616"/>
      <c r="L43" s="2148"/>
      <c r="M43" s="2149"/>
      <c r="N43" s="2149"/>
      <c r="O43" s="2149"/>
      <c r="P43" s="3357" t="str">
        <f>A43</f>
        <v>估价对象XX用房的比较价格（楼面单价，元/平方米）</v>
      </c>
      <c r="Q43" s="3358"/>
      <c r="R43" s="3472" t="e">
        <f>IF(F1="售价",ROUND(AVERAGE(R42:V42),0),ROUND(AVERAGE(R42:V42),1))</f>
        <v>#DIV/0!</v>
      </c>
      <c r="S43" s="3472"/>
      <c r="T43" s="3472"/>
      <c r="U43" s="3472"/>
      <c r="V43" s="3472"/>
      <c r="W43" s="3472"/>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7" customFormat="1" ht="13.5" customHeight="1">
      <c r="A48" s="2150"/>
      <c r="B48" s="2150"/>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7"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49" customFormat="1" ht="15">
      <c r="A52" s="647" t="s">
        <v>530</v>
      </c>
      <c r="B52" s="648"/>
      <c r="C52" s="2832" t="str">
        <f>YEAR(C7)&amp;"-"&amp;MONTH(C7)</f>
        <v>2017-10</v>
      </c>
      <c r="D52" s="2834">
        <f>EDATE(C52,-1)</f>
        <v>42979</v>
      </c>
      <c r="E52" s="2834">
        <f t="shared" ref="E52:O52" si="16">EDATE(D52,-1)</f>
        <v>42948</v>
      </c>
      <c r="F52" s="2834">
        <f t="shared" si="16"/>
        <v>42917</v>
      </c>
      <c r="G52" s="2834">
        <f t="shared" si="16"/>
        <v>42887</v>
      </c>
      <c r="H52" s="2834">
        <f t="shared" si="16"/>
        <v>42856</v>
      </c>
      <c r="I52" s="2834">
        <f t="shared" si="16"/>
        <v>42826</v>
      </c>
      <c r="J52" s="2834">
        <f t="shared" si="16"/>
        <v>42795</v>
      </c>
      <c r="K52" s="2834">
        <f t="shared" si="16"/>
        <v>42767</v>
      </c>
      <c r="L52" s="2834">
        <f t="shared" si="16"/>
        <v>42736</v>
      </c>
      <c r="M52" s="2834">
        <f t="shared" si="16"/>
        <v>42705</v>
      </c>
      <c r="N52" s="2834">
        <f t="shared" si="16"/>
        <v>42675</v>
      </c>
      <c r="O52" s="2834">
        <f t="shared" si="16"/>
        <v>42644</v>
      </c>
      <c r="P52" s="2164"/>
      <c r="Q52" s="2165"/>
      <c r="R52" s="2165"/>
      <c r="S52" s="2165"/>
      <c r="T52" s="2165"/>
      <c r="U52" s="2165"/>
      <c r="V52" s="2165"/>
      <c r="W52" s="2165"/>
      <c r="X52" s="2165"/>
      <c r="Y52" s="2165"/>
      <c r="Z52" s="2165"/>
      <c r="AA52" s="2165"/>
      <c r="AB52" s="2165"/>
      <c r="AC52" s="2165"/>
    </row>
    <row r="53" spans="1:29" s="1222" customFormat="1" ht="15">
      <c r="A53" s="649"/>
      <c r="B53" s="650"/>
      <c r="C53" s="651">
        <v>100</v>
      </c>
      <c r="D53" s="652"/>
      <c r="E53" s="652"/>
      <c r="F53" s="652"/>
      <c r="G53" s="652"/>
      <c r="H53" s="652"/>
      <c r="I53" s="652"/>
      <c r="J53" s="652"/>
      <c r="K53" s="652"/>
      <c r="L53" s="652"/>
      <c r="M53" s="653"/>
      <c r="N53" s="652"/>
      <c r="O53" s="654"/>
      <c r="P53" s="2162"/>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2"/>
      <c r="Q54" s="2162"/>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66"/>
      <c r="O55" s="2166"/>
      <c r="P55" s="2167"/>
      <c r="Q55" s="2162"/>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66"/>
      <c r="O56" s="2166"/>
      <c r="P56" s="2162"/>
      <c r="Q56" s="2162"/>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73"/>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ht="27.75" thickTop="1">
      <c r="A59" s="671"/>
      <c r="B59" s="675" t="s">
        <v>538</v>
      </c>
      <c r="C59" s="676" t="s">
        <v>738</v>
      </c>
      <c r="D59" s="676" t="s">
        <v>739</v>
      </c>
      <c r="E59" s="676" t="s">
        <v>740</v>
      </c>
      <c r="F59" s="676" t="s">
        <v>741</v>
      </c>
      <c r="G59" s="676" t="s">
        <v>742</v>
      </c>
      <c r="H59" s="676" t="s">
        <v>743</v>
      </c>
      <c r="I59" s="676" t="s">
        <v>744</v>
      </c>
      <c r="J59" s="676"/>
      <c r="K59" s="677"/>
      <c r="L59" s="678"/>
      <c r="M59" s="679"/>
      <c r="N59" s="2168"/>
      <c r="O59" s="2168"/>
      <c r="P59" s="2169"/>
      <c r="Q59" s="2162"/>
      <c r="R59" s="2149"/>
      <c r="S59" s="2149"/>
      <c r="T59" s="2149"/>
      <c r="U59" s="2149"/>
      <c r="V59" s="2149"/>
      <c r="W59" s="2149"/>
      <c r="X59" s="2149"/>
      <c r="Y59" s="2149"/>
      <c r="Z59" s="2149"/>
      <c r="AA59" s="2149"/>
      <c r="AB59" s="2149"/>
      <c r="AC59" s="2149"/>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0"/>
      <c r="O60" s="2170"/>
      <c r="P60" s="2169"/>
      <c r="Q60" s="2162"/>
      <c r="R60" s="2149"/>
      <c r="S60" s="2149"/>
      <c r="T60" s="2149"/>
      <c r="U60" s="2149"/>
      <c r="V60" s="2149"/>
      <c r="W60" s="2149"/>
      <c r="X60" s="2149"/>
      <c r="Y60" s="2149"/>
      <c r="Z60" s="2149"/>
      <c r="AA60" s="2149"/>
      <c r="AB60" s="2149"/>
      <c r="AC60" s="2149"/>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1"/>
      <c r="B62" s="685"/>
      <c r="C62" s="543"/>
      <c r="D62" s="543"/>
      <c r="E62" s="543"/>
      <c r="F62" s="543"/>
      <c r="G62" s="543"/>
      <c r="H62" s="543"/>
      <c r="I62" s="543"/>
      <c r="J62" s="543"/>
      <c r="K62" s="686"/>
      <c r="L62" s="687"/>
      <c r="M62" s="688"/>
      <c r="N62" s="2168"/>
      <c r="O62" s="2168"/>
      <c r="P62" s="2169"/>
      <c r="Q62" s="2162"/>
      <c r="R62" s="2149"/>
      <c r="S62" s="2149"/>
      <c r="T62" s="2149"/>
      <c r="U62" s="2149"/>
      <c r="V62" s="2149"/>
      <c r="W62" s="2149"/>
      <c r="X62" s="2149"/>
      <c r="Y62" s="2149"/>
      <c r="Z62" s="2149"/>
      <c r="AA62" s="2149"/>
      <c r="AB62" s="2149"/>
      <c r="AC62" s="2149"/>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0"/>
      <c r="O63" s="2170"/>
      <c r="P63" s="2169"/>
      <c r="Q63" s="2162"/>
      <c r="R63" s="2149"/>
      <c r="S63" s="2149"/>
      <c r="T63" s="2149"/>
      <c r="U63" s="2149"/>
      <c r="V63" s="2149"/>
      <c r="W63" s="2149"/>
      <c r="X63" s="2149"/>
      <c r="Y63" s="2149"/>
      <c r="Z63" s="2149"/>
      <c r="AA63" s="2149"/>
      <c r="AB63" s="2149"/>
      <c r="AC63" s="2149"/>
    </row>
    <row r="64" spans="1:29" s="1341" customFormat="1" ht="15.75" thickTop="1">
      <c r="A64" s="689"/>
      <c r="B64" s="675">
        <f>B12</f>
        <v>111</v>
      </c>
      <c r="C64" s="690"/>
      <c r="D64" s="690"/>
      <c r="E64" s="690"/>
      <c r="F64" s="690"/>
      <c r="G64" s="690"/>
      <c r="H64" s="691"/>
      <c r="I64" s="691"/>
      <c r="J64" s="691"/>
      <c r="K64" s="691"/>
      <c r="L64" s="692"/>
      <c r="M64" s="693"/>
      <c r="N64" s="2171"/>
      <c r="O64" s="2171"/>
      <c r="P64" s="2172"/>
      <c r="Q64" s="2173"/>
      <c r="R64" s="2174"/>
      <c r="S64" s="2174"/>
      <c r="T64" s="2174"/>
      <c r="U64" s="2174"/>
      <c r="V64" s="2174"/>
      <c r="W64" s="2174"/>
      <c r="X64" s="2174"/>
      <c r="Y64" s="2174"/>
      <c r="Z64" s="2174"/>
      <c r="AA64" s="2174"/>
      <c r="AB64" s="2174"/>
      <c r="AC64" s="2174"/>
    </row>
    <row r="65" spans="1:29" s="1341" customFormat="1" ht="15.75" thickBot="1">
      <c r="A65" s="689"/>
      <c r="B65" s="680"/>
      <c r="C65" s="694"/>
      <c r="D65" s="673"/>
      <c r="E65" s="673"/>
      <c r="F65" s="673"/>
      <c r="G65" s="673"/>
      <c r="H65" s="673"/>
      <c r="I65" s="673"/>
      <c r="J65" s="673"/>
      <c r="K65" s="673"/>
      <c r="L65" s="673"/>
      <c r="M65" s="674"/>
      <c r="N65" s="2170"/>
      <c r="O65" s="2170"/>
      <c r="P65" s="2172"/>
      <c r="Q65" s="2173"/>
      <c r="R65" s="2174"/>
      <c r="S65" s="2174"/>
      <c r="T65" s="2174"/>
      <c r="U65" s="2174"/>
      <c r="V65" s="2174"/>
      <c r="W65" s="2174"/>
      <c r="X65" s="2174"/>
      <c r="Y65" s="2174"/>
      <c r="Z65" s="2174"/>
      <c r="AA65" s="2174"/>
      <c r="AB65" s="2174"/>
      <c r="AC65" s="2174"/>
    </row>
    <row r="66" spans="1:29" s="1341" customFormat="1" ht="15.75" thickTop="1">
      <c r="A66" s="689"/>
      <c r="B66" s="675">
        <f>B13</f>
        <v>111</v>
      </c>
      <c r="C66" s="690"/>
      <c r="D66" s="690"/>
      <c r="E66" s="690"/>
      <c r="F66" s="690"/>
      <c r="G66" s="690"/>
      <c r="H66" s="691"/>
      <c r="I66" s="691"/>
      <c r="J66" s="691"/>
      <c r="K66" s="691"/>
      <c r="L66" s="692"/>
      <c r="M66" s="693"/>
      <c r="N66" s="2171"/>
      <c r="O66" s="2171"/>
      <c r="P66" s="2175"/>
      <c r="Q66" s="2176"/>
      <c r="R66" s="2174"/>
      <c r="S66" s="2174"/>
      <c r="T66" s="2174"/>
      <c r="U66" s="2174"/>
      <c r="V66" s="2174"/>
      <c r="W66" s="2174"/>
      <c r="X66" s="2174"/>
      <c r="Y66" s="2174"/>
      <c r="Z66" s="2174"/>
      <c r="AA66" s="2174"/>
      <c r="AB66" s="2174"/>
      <c r="AC66" s="2174"/>
    </row>
    <row r="67" spans="1:29" s="1341" customFormat="1" ht="15.75" thickBot="1">
      <c r="A67" s="689"/>
      <c r="B67" s="680"/>
      <c r="C67" s="694"/>
      <c r="D67" s="673"/>
      <c r="E67" s="673"/>
      <c r="F67" s="673"/>
      <c r="G67" s="694"/>
      <c r="H67" s="695"/>
      <c r="I67" s="695"/>
      <c r="J67" s="695"/>
      <c r="K67" s="695"/>
      <c r="L67" s="695"/>
      <c r="M67" s="696"/>
      <c r="N67" s="2171"/>
      <c r="O67" s="2171"/>
      <c r="P67" s="2172"/>
      <c r="Q67" s="2173"/>
      <c r="R67" s="2174"/>
      <c r="S67" s="2174"/>
      <c r="T67" s="2174"/>
      <c r="U67" s="2174"/>
      <c r="V67" s="2174"/>
      <c r="W67" s="2174"/>
      <c r="X67" s="2174"/>
      <c r="Y67" s="2174"/>
      <c r="Z67" s="2174"/>
      <c r="AA67" s="2174"/>
      <c r="AB67" s="2174"/>
      <c r="AC67" s="2174"/>
    </row>
    <row r="68" spans="1:29" s="1341" customFormat="1" ht="15.75" thickTop="1">
      <c r="A68" s="689"/>
      <c r="B68" s="683">
        <f>B14</f>
        <v>111</v>
      </c>
      <c r="C68" s="663"/>
      <c r="D68" s="663"/>
      <c r="E68" s="663"/>
      <c r="F68" s="663"/>
      <c r="G68" s="663"/>
      <c r="H68" s="697"/>
      <c r="I68" s="697"/>
      <c r="J68" s="697"/>
      <c r="K68" s="697"/>
      <c r="L68" s="698"/>
      <c r="M68" s="699"/>
      <c r="N68" s="2171"/>
      <c r="O68" s="2171"/>
      <c r="P68" s="2177"/>
      <c r="Q68" s="2173"/>
      <c r="R68" s="2174"/>
      <c r="S68" s="2174"/>
      <c r="T68" s="2174"/>
      <c r="U68" s="2174"/>
      <c r="V68" s="2174"/>
      <c r="W68" s="2174"/>
      <c r="X68" s="2174"/>
      <c r="Y68" s="2174"/>
      <c r="Z68" s="2174"/>
      <c r="AA68" s="2174"/>
      <c r="AB68" s="2174"/>
      <c r="AC68" s="2174"/>
    </row>
    <row r="69" spans="1:29" s="1341" customFormat="1" ht="15.75" thickBot="1">
      <c r="A69" s="700"/>
      <c r="B69" s="701"/>
      <c r="C69" s="702"/>
      <c r="D69" s="702"/>
      <c r="E69" s="702"/>
      <c r="F69" s="702"/>
      <c r="G69" s="702"/>
      <c r="H69" s="703"/>
      <c r="I69" s="703"/>
      <c r="J69" s="703"/>
      <c r="K69" s="703"/>
      <c r="L69" s="703"/>
      <c r="M69" s="704"/>
      <c r="N69" s="2171"/>
      <c r="O69" s="2171"/>
      <c r="P69" s="2172"/>
      <c r="Q69" s="2173"/>
      <c r="R69" s="2174"/>
      <c r="S69" s="2174"/>
      <c r="T69" s="2174"/>
      <c r="U69" s="2174"/>
      <c r="V69" s="2174"/>
      <c r="W69" s="2174"/>
      <c r="X69" s="2174"/>
      <c r="Y69" s="2174"/>
      <c r="Z69" s="2174"/>
      <c r="AA69" s="2174"/>
      <c r="AB69" s="2174"/>
      <c r="AC69" s="2174"/>
    </row>
    <row r="70" spans="1:29">
      <c r="A70" s="666" t="s">
        <v>540</v>
      </c>
      <c r="B70" s="667" t="s">
        <v>586</v>
      </c>
      <c r="C70" s="705" t="s">
        <v>580</v>
      </c>
      <c r="D70" s="705" t="s">
        <v>581</v>
      </c>
      <c r="E70" s="705" t="s">
        <v>582</v>
      </c>
      <c r="F70" s="705" t="s">
        <v>583</v>
      </c>
      <c r="G70" s="705" t="s">
        <v>584</v>
      </c>
      <c r="H70" s="706"/>
      <c r="I70" s="706"/>
      <c r="J70" s="706"/>
      <c r="K70" s="707"/>
      <c r="L70" s="708"/>
      <c r="M70" s="709"/>
      <c r="N70" s="2168"/>
      <c r="O70" s="2168"/>
      <c r="P70" s="2178"/>
      <c r="Q70" s="2162"/>
      <c r="R70" s="2149"/>
      <c r="S70" s="2149"/>
      <c r="T70" s="2149"/>
      <c r="U70" s="2149"/>
      <c r="V70" s="2149"/>
      <c r="W70" s="2149"/>
      <c r="X70" s="2149"/>
      <c r="Y70" s="2149"/>
      <c r="Z70" s="2149"/>
      <c r="AA70" s="2149"/>
      <c r="AB70" s="2149"/>
      <c r="AC70" s="2149"/>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0"/>
      <c r="O71" s="2170"/>
      <c r="P71" s="2169"/>
      <c r="Q71" s="2162"/>
      <c r="R71" s="2149"/>
      <c r="S71" s="2149"/>
      <c r="T71" s="2149"/>
      <c r="U71" s="2149"/>
      <c r="V71" s="2149"/>
      <c r="W71" s="2149"/>
      <c r="X71" s="2149"/>
      <c r="Y71" s="2149"/>
      <c r="Z71" s="2149"/>
      <c r="AA71" s="2149"/>
      <c r="AB71" s="2149"/>
      <c r="AC71" s="2149"/>
    </row>
    <row r="72" spans="1:29" ht="15.75" thickTop="1">
      <c r="A72" s="671"/>
      <c r="B72" s="675" t="s">
        <v>587</v>
      </c>
      <c r="C72" s="710" t="s">
        <v>580</v>
      </c>
      <c r="D72" s="710" t="s">
        <v>581</v>
      </c>
      <c r="E72" s="710" t="s">
        <v>582</v>
      </c>
      <c r="F72" s="710" t="s">
        <v>583</v>
      </c>
      <c r="G72" s="710" t="s">
        <v>584</v>
      </c>
      <c r="H72" s="676"/>
      <c r="I72" s="676"/>
      <c r="J72" s="676"/>
      <c r="K72" s="677"/>
      <c r="L72" s="678"/>
      <c r="M72" s="679"/>
      <c r="N72" s="2168"/>
      <c r="O72" s="2168"/>
      <c r="P72" s="2169"/>
      <c r="Q72" s="2162"/>
      <c r="R72" s="2149"/>
      <c r="S72" s="2149"/>
      <c r="T72" s="2149"/>
      <c r="U72" s="2149"/>
      <c r="V72" s="2149"/>
      <c r="W72" s="2149"/>
      <c r="X72" s="2149"/>
      <c r="Y72" s="2149"/>
      <c r="Z72" s="2149"/>
      <c r="AA72" s="2149"/>
      <c r="AB72" s="2149"/>
      <c r="AC72" s="2149"/>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0"/>
      <c r="O73" s="2170"/>
      <c r="P73" s="2169"/>
      <c r="Q73" s="2162"/>
      <c r="R73" s="2149"/>
      <c r="S73" s="2149"/>
      <c r="T73" s="2149"/>
      <c r="U73" s="2149"/>
      <c r="V73" s="2149"/>
      <c r="W73" s="2149"/>
      <c r="X73" s="2149"/>
      <c r="Y73" s="2149"/>
      <c r="Z73" s="2149"/>
      <c r="AA73" s="2149"/>
      <c r="AB73" s="2149"/>
      <c r="AC73" s="2149"/>
    </row>
    <row r="74" spans="1:29" ht="15.75" thickTop="1">
      <c r="A74" s="671"/>
      <c r="B74" s="1900" t="s">
        <v>2561</v>
      </c>
      <c r="C74" s="710" t="s">
        <v>580</v>
      </c>
      <c r="D74" s="710" t="s">
        <v>581</v>
      </c>
      <c r="E74" s="710" t="s">
        <v>582</v>
      </c>
      <c r="F74" s="710" t="s">
        <v>583</v>
      </c>
      <c r="G74" s="710" t="s">
        <v>584</v>
      </c>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2625" t="s">
        <v>2562</v>
      </c>
      <c r="C76" s="2626" t="s">
        <v>2563</v>
      </c>
      <c r="D76" s="2626" t="s">
        <v>2564</v>
      </c>
      <c r="E76" s="2626" t="s">
        <v>2565</v>
      </c>
      <c r="F76" s="2626" t="s">
        <v>2566</v>
      </c>
      <c r="G76" s="2626" t="s">
        <v>2567</v>
      </c>
      <c r="H76" s="937"/>
      <c r="I76" s="937"/>
      <c r="J76" s="937"/>
      <c r="K76" s="937"/>
      <c r="L76" s="937"/>
      <c r="M76" s="561"/>
      <c r="N76" s="2170"/>
      <c r="O76" s="2170"/>
      <c r="P76" s="2169"/>
      <c r="Q76" s="2162"/>
      <c r="R76" s="2149"/>
      <c r="S76" s="2149"/>
      <c r="T76" s="2149"/>
      <c r="U76" s="2149"/>
      <c r="V76" s="2149"/>
      <c r="W76" s="2149"/>
      <c r="X76" s="2149"/>
      <c r="Y76" s="2149"/>
      <c r="Z76" s="2149"/>
      <c r="AA76" s="2149"/>
      <c r="AB76" s="2149"/>
      <c r="AC76" s="2149"/>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785</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s="1222" customFormat="1" ht="15.75" thickTop="1">
      <c r="A80" s="711"/>
      <c r="B80" s="675">
        <f>B25</f>
        <v>111</v>
      </c>
      <c r="C80" s="690"/>
      <c r="D80" s="690"/>
      <c r="E80" s="690"/>
      <c r="F80" s="690"/>
      <c r="G80" s="690"/>
      <c r="H80" s="690"/>
      <c r="I80" s="690"/>
      <c r="J80" s="690"/>
      <c r="K80" s="690"/>
      <c r="L80" s="892"/>
      <c r="M80" s="893"/>
      <c r="N80" s="2166"/>
      <c r="O80" s="2166"/>
      <c r="P80" s="2169"/>
      <c r="Q80" s="2162"/>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0"/>
      <c r="O81" s="2170"/>
      <c r="P81" s="2169"/>
      <c r="Q81" s="2162"/>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66"/>
      <c r="O82" s="2166"/>
      <c r="P82" s="2169"/>
      <c r="Q82" s="2162"/>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0"/>
      <c r="O83" s="2170"/>
      <c r="P83" s="2169"/>
      <c r="Q83" s="2162"/>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1"/>
      <c r="O85" s="2171"/>
      <c r="P85" s="2172"/>
      <c r="Q85" s="2173"/>
      <c r="R85" s="2174"/>
      <c r="S85" s="2174"/>
      <c r="T85" s="2174"/>
      <c r="U85" s="2174"/>
      <c r="V85" s="2174"/>
      <c r="W85" s="2174"/>
      <c r="X85" s="2174"/>
      <c r="Y85" s="2174"/>
      <c r="Z85" s="2174"/>
      <c r="AA85" s="2174"/>
      <c r="AB85" s="2174"/>
      <c r="AC85" s="2174"/>
    </row>
    <row r="86" spans="1:29" ht="15.75" thickTop="1">
      <c r="A86" s="671"/>
      <c r="B86" s="683">
        <f>B28</f>
        <v>111</v>
      </c>
      <c r="C86" s="663"/>
      <c r="D86" s="663"/>
      <c r="E86" s="663"/>
      <c r="F86" s="663"/>
      <c r="G86" s="724"/>
      <c r="H86" s="724"/>
      <c r="I86" s="724"/>
      <c r="J86" s="724"/>
      <c r="K86" s="725"/>
      <c r="L86" s="726"/>
      <c r="M86" s="727"/>
      <c r="N86" s="2168"/>
      <c r="O86" s="2168"/>
      <c r="P86" s="2169"/>
      <c r="Q86" s="2162"/>
      <c r="R86" s="2149"/>
      <c r="S86" s="2149"/>
      <c r="T86" s="2149"/>
      <c r="U86" s="2149"/>
      <c r="V86" s="2149"/>
      <c r="W86" s="2149"/>
      <c r="X86" s="2149"/>
      <c r="Y86" s="2149"/>
      <c r="Z86" s="2149"/>
      <c r="AA86" s="2149"/>
      <c r="AB86" s="2149"/>
      <c r="AC86" s="2149"/>
    </row>
    <row r="87" spans="1:29" ht="15.75" thickBot="1">
      <c r="A87" s="895"/>
      <c r="B87" s="701"/>
      <c r="C87" s="702"/>
      <c r="D87" s="702"/>
      <c r="E87" s="702"/>
      <c r="F87" s="702"/>
      <c r="G87" s="728"/>
      <c r="H87" s="728"/>
      <c r="I87" s="728"/>
      <c r="J87" s="728"/>
      <c r="K87" s="728"/>
      <c r="L87" s="728"/>
      <c r="M87" s="729"/>
      <c r="N87" s="2170"/>
      <c r="O87" s="2170"/>
      <c r="P87" s="2169"/>
      <c r="Q87" s="2162"/>
      <c r="R87" s="2149"/>
      <c r="S87" s="2149"/>
      <c r="T87" s="2149"/>
      <c r="U87" s="2149"/>
      <c r="V87" s="2149"/>
      <c r="W87" s="2149"/>
      <c r="X87" s="2149"/>
      <c r="Y87" s="2149"/>
      <c r="Z87" s="2149"/>
      <c r="AA87" s="2149"/>
      <c r="AB87" s="2149"/>
      <c r="AC87" s="2149"/>
    </row>
    <row r="88" spans="1:29">
      <c r="A88" s="666" t="s">
        <v>552</v>
      </c>
      <c r="B88" s="667" t="s">
        <v>748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1"/>
      <c r="B90" s="675" t="s">
        <v>749</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6"/>
      <c r="O90" s="2166"/>
      <c r="P90" s="2169"/>
      <c r="Q90" s="2162"/>
      <c r="R90" s="2149"/>
      <c r="S90" s="2149"/>
      <c r="T90" s="2149"/>
      <c r="U90" s="2149"/>
      <c r="V90" s="2149"/>
      <c r="W90" s="2149"/>
      <c r="X90" s="2149"/>
      <c r="Y90" s="2149"/>
      <c r="Z90" s="2149"/>
      <c r="AA90" s="2149"/>
      <c r="AB90" s="2149"/>
      <c r="AC90" s="2149"/>
    </row>
    <row r="91" spans="1:29" s="1341" customFormat="1">
      <c r="A91" s="730"/>
      <c r="B91" s="731"/>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0"/>
      <c r="O92" s="2170"/>
      <c r="P92" s="2172"/>
      <c r="Q92" s="2173"/>
      <c r="R92" s="2174"/>
      <c r="S92" s="2174"/>
      <c r="T92" s="2174"/>
      <c r="U92" s="2174"/>
      <c r="V92" s="2174"/>
      <c r="W92" s="2174"/>
      <c r="X92" s="2174"/>
      <c r="Y92" s="2174"/>
      <c r="Z92" s="2174"/>
      <c r="AA92" s="2174"/>
      <c r="AB92" s="2174"/>
      <c r="AC92" s="2174"/>
    </row>
    <row r="93" spans="1:29" ht="15" thickTop="1">
      <c r="A93" s="737"/>
      <c r="B93" s="675" t="s">
        <v>750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752</v>
      </c>
      <c r="C95" s="690"/>
      <c r="D95" s="690"/>
      <c r="E95" s="690"/>
      <c r="F95" s="720"/>
      <c r="G95" s="720"/>
      <c r="H95" s="720"/>
      <c r="I95" s="720"/>
      <c r="J95" s="720"/>
      <c r="K95" s="721"/>
      <c r="L95" s="722"/>
      <c r="M95" s="723"/>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7"/>
      <c r="B97" s="675" t="s">
        <v>753</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8"/>
      <c r="O97" s="2168"/>
      <c r="P97" s="2169"/>
      <c r="Q97" s="2162"/>
      <c r="R97" s="2149"/>
      <c r="S97" s="2149"/>
      <c r="T97" s="2149"/>
      <c r="U97" s="2149"/>
      <c r="V97" s="2149"/>
      <c r="W97" s="2149"/>
      <c r="X97" s="2149"/>
      <c r="Y97" s="2149"/>
      <c r="Z97" s="2149"/>
      <c r="AA97" s="2149"/>
      <c r="AB97" s="2149"/>
      <c r="AC97" s="2149"/>
    </row>
    <row r="98" spans="1:29">
      <c r="A98" s="737"/>
      <c r="B98" s="683"/>
      <c r="C98" s="896">
        <v>0.5</v>
      </c>
      <c r="D98" s="896">
        <v>0.6</v>
      </c>
      <c r="E98" s="896">
        <v>0.7</v>
      </c>
      <c r="F98" s="896">
        <v>0.8</v>
      </c>
      <c r="G98" s="896">
        <v>0.9</v>
      </c>
      <c r="H98" s="896">
        <v>1.0001</v>
      </c>
      <c r="I98" s="907"/>
      <c r="J98" s="907"/>
      <c r="K98" s="908"/>
      <c r="L98" s="909"/>
      <c r="M98" s="910"/>
      <c r="N98" s="2168"/>
      <c r="O98" s="2168"/>
      <c r="P98" s="2169"/>
      <c r="Q98" s="2162"/>
      <c r="R98" s="2149"/>
      <c r="S98" s="2149"/>
      <c r="T98" s="2149"/>
      <c r="U98" s="2149"/>
      <c r="V98" s="2149"/>
      <c r="W98" s="2149"/>
      <c r="X98" s="2149"/>
      <c r="Y98" s="2149"/>
      <c r="Z98" s="2149"/>
      <c r="AA98" s="2149"/>
      <c r="AB98" s="2149"/>
      <c r="AC98" s="2149"/>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0"/>
      <c r="O99" s="2170"/>
      <c r="P99" s="2169"/>
      <c r="Q99" s="2162"/>
      <c r="R99" s="2149"/>
      <c r="S99" s="2149"/>
      <c r="T99" s="2149"/>
      <c r="U99" s="2149"/>
      <c r="V99" s="2149"/>
      <c r="W99" s="2149"/>
      <c r="X99" s="2149"/>
      <c r="Y99" s="2149"/>
      <c r="Z99" s="2149"/>
      <c r="AA99" s="2149"/>
      <c r="AB99" s="2149"/>
      <c r="AC99" s="2149"/>
    </row>
    <row r="100" spans="1:29" s="1341" customFormat="1" ht="15" thickTop="1">
      <c r="A100" s="730"/>
      <c r="B100" s="675" t="s">
        <v>754</v>
      </c>
      <c r="C100" s="690"/>
      <c r="D100" s="690"/>
      <c r="E100" s="690"/>
      <c r="F100" s="690"/>
      <c r="G100" s="690"/>
      <c r="H100" s="720"/>
      <c r="I100" s="720"/>
      <c r="J100" s="720"/>
      <c r="K100" s="721"/>
      <c r="L100" s="722"/>
      <c r="M100" s="723"/>
      <c r="N100" s="2171"/>
      <c r="O100" s="2171"/>
      <c r="P100" s="2172"/>
      <c r="Q100" s="2173"/>
      <c r="R100" s="2174"/>
      <c r="S100" s="2174"/>
      <c r="T100" s="2174"/>
      <c r="U100" s="2174"/>
      <c r="V100" s="2174"/>
      <c r="W100" s="2174"/>
      <c r="X100" s="2174"/>
      <c r="Y100" s="2174"/>
      <c r="Z100" s="2174"/>
      <c r="AA100" s="2174"/>
      <c r="AB100" s="2174"/>
      <c r="AC100" s="2174"/>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7"/>
      <c r="B102" s="1900" t="s">
        <v>2560</v>
      </c>
      <c r="C102" s="690"/>
      <c r="D102" s="690"/>
      <c r="E102" s="690"/>
      <c r="F102" s="690"/>
      <c r="G102" s="690"/>
      <c r="H102" s="720"/>
      <c r="I102" s="720"/>
      <c r="J102" s="720"/>
      <c r="K102" s="721"/>
      <c r="L102" s="722"/>
      <c r="M102" s="723"/>
      <c r="N102" s="2168"/>
      <c r="O102" s="2168"/>
      <c r="P102" s="2169"/>
      <c r="Q102" s="2162"/>
      <c r="R102" s="2149"/>
      <c r="S102" s="2149"/>
      <c r="T102" s="2149"/>
      <c r="U102" s="2149"/>
      <c r="V102" s="2149"/>
      <c r="W102" s="2149"/>
      <c r="X102" s="2149"/>
      <c r="Y102" s="2149"/>
      <c r="Z102" s="2149"/>
      <c r="AA102" s="2149"/>
      <c r="AB102" s="2149"/>
      <c r="AC102" s="2149"/>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7"/>
      <c r="B104" s="675" t="s">
        <v>756</v>
      </c>
      <c r="C104" s="690"/>
      <c r="D104" s="690"/>
      <c r="E104" s="690"/>
      <c r="F104" s="690"/>
      <c r="G104" s="690"/>
      <c r="H104" s="720"/>
      <c r="I104" s="720"/>
      <c r="J104" s="720"/>
      <c r="K104" s="721"/>
      <c r="L104" s="722"/>
      <c r="M104" s="723"/>
      <c r="N104" s="2168"/>
      <c r="O104" s="2168"/>
      <c r="P104" s="2169"/>
      <c r="Q104" s="2162"/>
      <c r="R104" s="2149"/>
      <c r="S104" s="2149"/>
      <c r="T104" s="2149"/>
      <c r="U104" s="2149"/>
      <c r="V104" s="2149"/>
      <c r="W104" s="2149"/>
      <c r="X104" s="2149"/>
      <c r="Y104" s="2149"/>
      <c r="Z104" s="2149"/>
      <c r="AA104" s="2149"/>
      <c r="AB104" s="2149"/>
      <c r="AC104" s="2149"/>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0"/>
      <c r="O105" s="2170"/>
      <c r="P105" s="2169"/>
      <c r="Q105" s="2162"/>
      <c r="R105" s="2149"/>
      <c r="S105" s="2149"/>
      <c r="T105" s="2149"/>
      <c r="U105" s="2149"/>
      <c r="V105" s="2149"/>
      <c r="W105" s="2149"/>
      <c r="X105" s="2149"/>
      <c r="Y105" s="2149"/>
      <c r="Z105" s="2149"/>
      <c r="AA105" s="2149"/>
      <c r="AB105" s="2149"/>
      <c r="AC105" s="2149"/>
    </row>
    <row r="106" spans="1:29" ht="27.75" thickTop="1">
      <c r="A106" s="737"/>
      <c r="B106" s="919" t="s">
        <v>792</v>
      </c>
      <c r="C106" s="710" t="s">
        <v>580</v>
      </c>
      <c r="D106" s="710" t="s">
        <v>581</v>
      </c>
      <c r="E106" s="710" t="s">
        <v>582</v>
      </c>
      <c r="F106" s="710" t="s">
        <v>583</v>
      </c>
      <c r="G106" s="710" t="s">
        <v>584</v>
      </c>
      <c r="H106" s="676"/>
      <c r="I106" s="676"/>
      <c r="J106" s="676"/>
      <c r="K106" s="677"/>
      <c r="L106" s="678"/>
      <c r="M106" s="679"/>
      <c r="N106" s="2170"/>
      <c r="O106" s="2170"/>
      <c r="P106" s="2209"/>
      <c r="Q106" s="2210"/>
      <c r="R106" s="2149"/>
      <c r="S106" s="2149"/>
      <c r="T106" s="2149"/>
      <c r="U106" s="2149"/>
      <c r="V106" s="2149"/>
      <c r="W106" s="2149"/>
      <c r="X106" s="2149"/>
      <c r="Y106" s="2149"/>
      <c r="Z106" s="2149"/>
      <c r="AA106" s="2149"/>
      <c r="AB106" s="2149"/>
      <c r="AC106" s="2149"/>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0"/>
      <c r="O107" s="2170"/>
      <c r="P107" s="2169"/>
      <c r="Q107" s="2162"/>
      <c r="R107" s="2149"/>
      <c r="S107" s="2149"/>
      <c r="T107" s="2149"/>
      <c r="U107" s="2149"/>
      <c r="V107" s="2149"/>
      <c r="W107" s="2149"/>
      <c r="X107" s="2149"/>
      <c r="Y107" s="2149"/>
      <c r="Z107" s="2149"/>
      <c r="AA107" s="2149"/>
      <c r="AB107" s="2149"/>
      <c r="AC107" s="2149"/>
    </row>
    <row r="108" spans="1:29" s="1341" customFormat="1" ht="15" thickTop="1">
      <c r="A108" s="730"/>
      <c r="B108" s="675">
        <f>B38</f>
        <v>111</v>
      </c>
      <c r="C108" s="690"/>
      <c r="D108" s="690"/>
      <c r="E108" s="690"/>
      <c r="F108" s="690"/>
      <c r="G108" s="690"/>
      <c r="H108" s="691"/>
      <c r="I108" s="691"/>
      <c r="J108" s="691"/>
      <c r="K108" s="691"/>
      <c r="L108" s="692"/>
      <c r="M108" s="693"/>
      <c r="N108" s="2171"/>
      <c r="O108" s="2171"/>
      <c r="P108" s="2172"/>
      <c r="Q108" s="2173"/>
      <c r="R108" s="2174"/>
      <c r="S108" s="2174"/>
      <c r="T108" s="2174"/>
      <c r="U108" s="2174"/>
      <c r="V108" s="2174"/>
      <c r="W108" s="2174"/>
      <c r="X108" s="2174"/>
      <c r="Y108" s="2174"/>
      <c r="Z108" s="2174"/>
      <c r="AA108" s="2174"/>
      <c r="AB108" s="2174"/>
      <c r="AC108" s="2174"/>
    </row>
    <row r="109" spans="1:29" s="1341" customFormat="1" ht="15.75" thickBot="1">
      <c r="A109" s="689"/>
      <c r="B109" s="672"/>
      <c r="C109" s="694"/>
      <c r="D109" s="673"/>
      <c r="E109" s="673"/>
      <c r="F109" s="673"/>
      <c r="G109" s="694"/>
      <c r="H109" s="695"/>
      <c r="I109" s="695"/>
      <c r="J109" s="695"/>
      <c r="K109" s="695"/>
      <c r="L109" s="695"/>
      <c r="M109" s="696"/>
      <c r="N109" s="2171"/>
      <c r="O109" s="2171"/>
      <c r="P109" s="2172"/>
      <c r="Q109" s="2173"/>
      <c r="R109" s="2174"/>
      <c r="S109" s="2174"/>
      <c r="T109" s="2174"/>
      <c r="U109" s="2174"/>
      <c r="V109" s="2174"/>
      <c r="W109" s="2174"/>
      <c r="X109" s="2174"/>
      <c r="Y109" s="2174"/>
      <c r="Z109" s="2174"/>
      <c r="AA109" s="2174"/>
      <c r="AB109" s="2174"/>
      <c r="AC109" s="2174"/>
    </row>
    <row r="110" spans="1:29" ht="15" thickTop="1">
      <c r="A110" s="737"/>
      <c r="B110" s="675">
        <f>B39</f>
        <v>111</v>
      </c>
      <c r="C110" s="690"/>
      <c r="D110" s="690"/>
      <c r="E110" s="690"/>
      <c r="F110" s="690"/>
      <c r="G110" s="690"/>
      <c r="H110" s="691"/>
      <c r="I110" s="691"/>
      <c r="J110" s="691"/>
      <c r="K110" s="691"/>
      <c r="L110" s="692"/>
      <c r="M110" s="69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94"/>
      <c r="D111" s="673"/>
      <c r="E111" s="673"/>
      <c r="F111" s="673"/>
      <c r="G111" s="694"/>
      <c r="H111" s="695"/>
      <c r="I111" s="695"/>
      <c r="J111" s="695"/>
      <c r="K111" s="695"/>
      <c r="L111" s="695"/>
      <c r="M111" s="696"/>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83">
        <f>B40</f>
        <v>111</v>
      </c>
      <c r="C112" s="663"/>
      <c r="D112" s="663"/>
      <c r="E112" s="663"/>
      <c r="F112" s="663"/>
      <c r="G112" s="724"/>
      <c r="H112" s="724"/>
      <c r="I112" s="724"/>
      <c r="J112" s="724"/>
      <c r="K112" s="663"/>
      <c r="L112" s="664"/>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895"/>
      <c r="B113" s="701"/>
      <c r="C113" s="702"/>
      <c r="D113" s="702"/>
      <c r="E113" s="702"/>
      <c r="F113" s="702"/>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IF(B37="元/平方米",ROUND(B3*D3/10000,0),ROUND(F3*C39/10000,0))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IF(B37="元/平方米",C39,ROUND(B2*10000/D3,0))</f>
        <v>#DIV/0!</v>
      </c>
      <c r="C3" s="854" t="s">
        <v>797</v>
      </c>
      <c r="D3" s="853">
        <f>SUMIF('数据-汇总表'!$C19:$C33,D1,'数据-汇总表'!$E19:$E33)</f>
        <v>0</v>
      </c>
      <c r="E3" s="1852" t="s">
        <v>2077</v>
      </c>
      <c r="F3" s="853">
        <f>SUMIF('数据-取费表'!A5:A15,D1,'数据-取费表'!AH5:AH15)</f>
        <v>0</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66" t="s">
        <v>799</v>
      </c>
      <c r="D4" s="3367"/>
      <c r="E4" s="3366" t="s">
        <v>800</v>
      </c>
      <c r="F4" s="3367"/>
      <c r="G4" s="3366" t="s">
        <v>801</v>
      </c>
      <c r="H4" s="3367"/>
      <c r="I4" s="3366" t="s">
        <v>802</v>
      </c>
      <c r="J4" s="3367"/>
      <c r="K4" s="516" t="s">
        <v>803</v>
      </c>
      <c r="L4" s="2137"/>
      <c r="M4" s="2138"/>
      <c r="N4" s="2138"/>
      <c r="O4" s="2138"/>
      <c r="P4" s="3368" t="s">
        <v>804</v>
      </c>
      <c r="Q4" s="3369"/>
      <c r="R4" s="3374" t="s">
        <v>800</v>
      </c>
      <c r="S4" s="3375"/>
      <c r="T4" s="3374" t="s">
        <v>801</v>
      </c>
      <c r="U4" s="3375"/>
      <c r="V4" s="3361" t="s">
        <v>802</v>
      </c>
      <c r="W4" s="3361"/>
      <c r="X4" s="1570"/>
      <c r="Y4" s="3374" t="s">
        <v>804</v>
      </c>
      <c r="Z4" s="3375"/>
      <c r="AA4" s="3363" t="s">
        <v>800</v>
      </c>
      <c r="AB4" s="3364" t="s">
        <v>801</v>
      </c>
      <c r="AC4" s="3363" t="s">
        <v>802</v>
      </c>
    </row>
    <row r="5" spans="1:29" ht="15">
      <c r="A5" s="517"/>
      <c r="B5" s="518"/>
      <c r="C5" s="3382" t="s">
        <v>2936</v>
      </c>
      <c r="D5" s="3383"/>
      <c r="E5" s="3382" t="s">
        <v>2937</v>
      </c>
      <c r="F5" s="338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84" t="s">
        <v>2940</v>
      </c>
      <c r="F6" s="3385"/>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43032</v>
      </c>
      <c r="D7" s="522">
        <v>100</v>
      </c>
      <c r="E7" s="523"/>
      <c r="F7" s="524">
        <f>SUMIF(48:48,YEAR(E7)&amp;"-"&amp;MONTH(E7),49:49)</f>
        <v>0</v>
      </c>
      <c r="G7" s="525"/>
      <c r="H7" s="522">
        <f>SUMIF(48:48,YEAR(G7)&amp;"-"&amp;MONTH(G7),49:49)</f>
        <v>0</v>
      </c>
      <c r="I7" s="525"/>
      <c r="J7" s="522">
        <f>SUMIF(48:48,YEAR(I7)&amp;"-"&amp;MONTH(I7),49:49)</f>
        <v>0</v>
      </c>
      <c r="K7" s="526"/>
      <c r="L7" s="2139"/>
      <c r="M7" s="2140"/>
      <c r="N7" s="2140"/>
      <c r="O7" s="2140"/>
      <c r="P7" s="3391" t="s">
        <v>531</v>
      </c>
      <c r="Q7" s="3393"/>
      <c r="R7" s="1571" t="s">
        <v>8</v>
      </c>
      <c r="S7" s="1572">
        <f t="shared" ref="S7:S14" si="0">F7</f>
        <v>0</v>
      </c>
      <c r="T7" s="1571" t="s">
        <v>8</v>
      </c>
      <c r="U7" s="1572">
        <f t="shared" ref="U7:U14" si="1">H7</f>
        <v>0</v>
      </c>
      <c r="V7" s="1571" t="s">
        <v>8</v>
      </c>
      <c r="W7" s="1572">
        <f t="shared" ref="W7:W14"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SUMIF(51:51,E8,52:52)-SUMIF(51:51,C8,52:52)+100</f>
        <v>0</v>
      </c>
      <c r="G8" s="527"/>
      <c r="H8" s="522">
        <f>SUMIF(51:51,G8,52:52)-SUMIF(51:51,C8,52:52)+100</f>
        <v>0</v>
      </c>
      <c r="I8" s="527"/>
      <c r="J8" s="522">
        <f>SUMIF(51:51,I8,52:52)-SUMIF(51:51,C8,52:52)+100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36" si="3">D8/F8</f>
        <v>#DIV/0!</v>
      </c>
      <c r="AB8" s="1574" t="e">
        <f t="shared" ref="AB8:AB36" si="4">D8/H8</f>
        <v>#DIV/0!</v>
      </c>
      <c r="AC8" s="1574" t="e">
        <f t="shared" ref="AC8:AC36" si="5">D8/J8</f>
        <v>#DIV/0!</v>
      </c>
    </row>
    <row r="9" spans="1:29" s="1222" customFormat="1" ht="15">
      <c r="A9" s="2944"/>
      <c r="B9" s="2951" t="s">
        <v>2762</v>
      </c>
      <c r="C9" s="859"/>
      <c r="D9" s="253">
        <v>100</v>
      </c>
      <c r="E9" s="862"/>
      <c r="F9" s="253">
        <f>SUMIF(53:53,E9,54:54)-SUMIF(53:53,C9,54:54)+100</f>
        <v>100</v>
      </c>
      <c r="G9" s="860"/>
      <c r="H9" s="253">
        <f>SUMIF(53:53,G9,54:54)-SUMIF(53:53,C9,54:54)+100</f>
        <v>100</v>
      </c>
      <c r="I9" s="860"/>
      <c r="J9" s="253">
        <f>SUMIF(53:53,I9,54:54)-SUMIF(53:53,C9,54:54)+100</f>
        <v>100</v>
      </c>
      <c r="K9" s="526"/>
      <c r="L9" s="2139"/>
      <c r="M9" s="2140"/>
      <c r="N9" s="2140"/>
      <c r="O9" s="2141"/>
      <c r="P9" s="3360" t="s">
        <v>536</v>
      </c>
      <c r="Q9" s="1153" t="str">
        <f t="shared" ref="Q9:Q14" si="6">B9</f>
        <v>用途</v>
      </c>
      <c r="R9" s="1571" t="s">
        <v>8</v>
      </c>
      <c r="S9" s="1572">
        <f t="shared" si="0"/>
        <v>100</v>
      </c>
      <c r="T9" s="1571" t="s">
        <v>8</v>
      </c>
      <c r="U9" s="1572">
        <f t="shared" si="1"/>
        <v>100</v>
      </c>
      <c r="V9" s="1571" t="s">
        <v>8</v>
      </c>
      <c r="W9" s="1572">
        <f t="shared" si="2"/>
        <v>100</v>
      </c>
      <c r="X9" s="1573"/>
      <c r="Y9" s="3306"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SUMIF(55:55,E10,56:56)-SUMIF(55:55,C10,56:56)+100</f>
        <v>100</v>
      </c>
      <c r="G10" s="864"/>
      <c r="H10" s="254">
        <f>SUMIF(55:55,G10,56:56)-SUMIF(55:55,C10,56:56)+100</f>
        <v>100</v>
      </c>
      <c r="I10" s="863"/>
      <c r="J10" s="254">
        <f>SUMIF(55:55,I10,56:56)-SUMIF(55:55,C10,56:56)+100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7"/>
      <c r="B11" s="2953">
        <v>111</v>
      </c>
      <c r="C11" s="530"/>
      <c r="D11" s="254">
        <v>100</v>
      </c>
      <c r="E11" s="530"/>
      <c r="F11" s="254">
        <f>SUMIF(57:57,E11,58:58)-SUMIF(57:57,C11,58:58)+100</f>
        <v>100</v>
      </c>
      <c r="G11" s="530"/>
      <c r="H11" s="254">
        <f>SUMIF(57:57,G11,58:58)-SUMIF(57:57,C11,58:58)+100</f>
        <v>100</v>
      </c>
      <c r="I11" s="530"/>
      <c r="J11" s="254">
        <f>SUMIF(57:57,I11,58:58)-SUMIF(57:57,C11,58:58)+100</f>
        <v>100</v>
      </c>
      <c r="K11" s="583"/>
      <c r="L11" s="2144"/>
      <c r="M11" s="2138"/>
      <c r="N11" s="2138"/>
      <c r="O11" s="2145"/>
      <c r="P11" s="3360"/>
      <c r="Q11" s="1153">
        <f t="shared" si="6"/>
        <v>111</v>
      </c>
      <c r="R11" s="1571" t="s">
        <v>8</v>
      </c>
      <c r="S11" s="1572">
        <f t="shared" si="0"/>
        <v>100</v>
      </c>
      <c r="T11" s="1571" t="s">
        <v>8</v>
      </c>
      <c r="U11" s="1572">
        <f t="shared" si="1"/>
        <v>100</v>
      </c>
      <c r="V11" s="1571" t="s">
        <v>8</v>
      </c>
      <c r="W11" s="1572">
        <f t="shared" si="2"/>
        <v>100</v>
      </c>
      <c r="X11" s="1573"/>
      <c r="Y11" s="3306"/>
      <c r="Z11" s="1152">
        <f t="shared" si="7"/>
        <v>111</v>
      </c>
      <c r="AA11" s="1574">
        <f t="shared" si="3"/>
        <v>1</v>
      </c>
      <c r="AB11" s="1574">
        <f t="shared" si="4"/>
        <v>1</v>
      </c>
      <c r="AC11" s="1574">
        <f t="shared" si="5"/>
        <v>1</v>
      </c>
    </row>
    <row r="12" spans="1:29" s="1222" customFormat="1" ht="15">
      <c r="A12" s="2947"/>
      <c r="B12" s="2953">
        <v>111</v>
      </c>
      <c r="C12" s="530"/>
      <c r="D12" s="540">
        <v>100</v>
      </c>
      <c r="E12" s="530"/>
      <c r="F12" s="254">
        <f>SUMIF(59:59,E12,60:60)-SUMIF(59:59,C12,60:60)+100</f>
        <v>100</v>
      </c>
      <c r="G12" s="530"/>
      <c r="H12" s="254">
        <f>SUMIF(59:59,G12,60:60)-SUMIF(59:59,C12,60:60)+100</f>
        <v>100</v>
      </c>
      <c r="I12" s="530"/>
      <c r="J12" s="254">
        <f>SUMIF(59:59,I12,60:60)-SUMIF(59:59,C12,60:60)+100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75" thickBot="1">
      <c r="A13" s="2948"/>
      <c r="B13" s="2954">
        <v>111</v>
      </c>
      <c r="C13" s="541"/>
      <c r="D13" s="542">
        <v>100</v>
      </c>
      <c r="E13" s="530"/>
      <c r="F13" s="254">
        <f>SUMIF(61:61,E13,62:62)-SUMIF(61:61,C13,62:62)+100</f>
        <v>100</v>
      </c>
      <c r="G13" s="530"/>
      <c r="H13" s="542">
        <f>SUMIF(61:61,G13,62:62)-SUMIF(61:61,C13,62:62)+100</f>
        <v>100</v>
      </c>
      <c r="I13" s="530"/>
      <c r="J13" s="542">
        <f>SUMIF(61:61,I13,62:62)-SUMIF(61:61,C13,62:62)+100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85.5">
      <c r="A14" s="2940" t="s">
        <v>2760</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6"/>
      <c r="M14" s="2138"/>
      <c r="N14" s="2138"/>
      <c r="O14" s="2145"/>
      <c r="P14" s="3394" t="s">
        <v>541</v>
      </c>
      <c r="Q14" s="1575" t="str">
        <f t="shared" si="6"/>
        <v>交通便捷度</v>
      </c>
      <c r="R14" s="1576" t="s">
        <v>8</v>
      </c>
      <c r="S14" s="1577">
        <f t="shared" si="0"/>
        <v>100</v>
      </c>
      <c r="T14" s="1576" t="s">
        <v>8</v>
      </c>
      <c r="U14" s="1577">
        <f t="shared" si="1"/>
        <v>100</v>
      </c>
      <c r="V14" s="1576" t="s">
        <v>8</v>
      </c>
      <c r="W14" s="1577">
        <f t="shared" si="2"/>
        <v>100</v>
      </c>
      <c r="X14" s="1570"/>
      <c r="Y14" s="3394" t="s">
        <v>541</v>
      </c>
      <c r="Z14" s="1578" t="str">
        <f t="shared" si="7"/>
        <v>交通便捷度</v>
      </c>
      <c r="AA14" s="1579">
        <f t="shared" si="3"/>
        <v>1</v>
      </c>
      <c r="AB14" s="1579">
        <f t="shared" si="4"/>
        <v>1</v>
      </c>
      <c r="AC14" s="1579">
        <f t="shared" si="5"/>
        <v>1</v>
      </c>
    </row>
    <row r="15" spans="1:29" ht="15">
      <c r="A15" s="517"/>
      <c r="B15" s="926"/>
      <c r="C15" s="578"/>
      <c r="D15" s="557"/>
      <c r="E15" s="578"/>
      <c r="F15" s="559"/>
      <c r="G15" s="578"/>
      <c r="H15" s="561"/>
      <c r="I15" s="578"/>
      <c r="J15" s="557"/>
      <c r="K15" s="901"/>
      <c r="L15" s="2146"/>
      <c r="M15" s="2138"/>
      <c r="N15" s="2138"/>
      <c r="O15" s="2145"/>
      <c r="P15" s="3395"/>
      <c r="Q15" s="1575"/>
      <c r="R15" s="1576"/>
      <c r="S15" s="1577"/>
      <c r="T15" s="1576"/>
      <c r="U15" s="1577"/>
      <c r="V15" s="1576"/>
      <c r="W15" s="1577"/>
      <c r="X15" s="1570"/>
      <c r="Y15" s="3395"/>
      <c r="Z15" s="1578"/>
      <c r="AA15" s="1579">
        <v>1</v>
      </c>
      <c r="AB15" s="1579">
        <v>1</v>
      </c>
      <c r="AC15" s="1579">
        <v>1</v>
      </c>
    </row>
    <row r="16" spans="1:29" ht="42.75">
      <c r="A16" s="517"/>
      <c r="B16" s="2631" t="s">
        <v>2550</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6"/>
      <c r="M16" s="2138"/>
      <c r="N16" s="2138"/>
      <c r="O16" s="2145"/>
      <c r="P16" s="3395"/>
      <c r="Q16" s="1575" t="str">
        <f>B16</f>
        <v>公共配套设施</v>
      </c>
      <c r="R16" s="1576" t="s">
        <v>8</v>
      </c>
      <c r="S16" s="1577">
        <f>F16</f>
        <v>100</v>
      </c>
      <c r="T16" s="1576" t="s">
        <v>8</v>
      </c>
      <c r="U16" s="1577">
        <f>H16</f>
        <v>100</v>
      </c>
      <c r="V16" s="1576" t="s">
        <v>8</v>
      </c>
      <c r="W16" s="1577">
        <f>J16</f>
        <v>100</v>
      </c>
      <c r="X16" s="1570"/>
      <c r="Y16" s="3395"/>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1"/>
      <c r="L17" s="2146"/>
      <c r="M17" s="2138"/>
      <c r="N17" s="2138"/>
      <c r="O17" s="2145"/>
      <c r="P17" s="3395"/>
      <c r="Q17" s="1575"/>
      <c r="R17" s="1576"/>
      <c r="S17" s="1577"/>
      <c r="T17" s="1576"/>
      <c r="U17" s="1577"/>
      <c r="V17" s="1576"/>
      <c r="W17" s="1577"/>
      <c r="X17" s="1570"/>
      <c r="Y17" s="3395"/>
      <c r="Z17" s="1578"/>
      <c r="AA17" s="1579">
        <v>1</v>
      </c>
      <c r="AB17" s="1579">
        <v>1</v>
      </c>
      <c r="AC17" s="1579">
        <v>1</v>
      </c>
    </row>
    <row r="18" spans="1:29" ht="28.5">
      <c r="A18" s="517"/>
      <c r="B18" s="2619" t="s">
        <v>2562</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6"/>
      <c r="M18" s="2138"/>
      <c r="N18" s="2138"/>
      <c r="O18" s="2145"/>
      <c r="P18" s="3395"/>
      <c r="Q18" s="2607" t="str">
        <f>B18</f>
        <v>基础设施水平</v>
      </c>
      <c r="R18" s="1576" t="s">
        <v>8</v>
      </c>
      <c r="S18" s="1577">
        <f>F18</f>
        <v>100</v>
      </c>
      <c r="T18" s="1576" t="s">
        <v>8</v>
      </c>
      <c r="U18" s="1577">
        <f>H18</f>
        <v>100</v>
      </c>
      <c r="V18" s="1576" t="s">
        <v>8</v>
      </c>
      <c r="W18" s="1577">
        <f>J18</f>
        <v>100</v>
      </c>
      <c r="X18" s="2609"/>
      <c r="Y18" s="3395"/>
      <c r="Z18" s="2608"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0"/>
      <c r="L19" s="2146"/>
      <c r="M19" s="2138"/>
      <c r="N19" s="2138"/>
      <c r="O19" s="2145"/>
      <c r="P19" s="3395"/>
      <c r="Q19" s="2607"/>
      <c r="R19" s="1576"/>
      <c r="S19" s="1577"/>
      <c r="T19" s="1576"/>
      <c r="U19" s="1577"/>
      <c r="V19" s="1576"/>
      <c r="W19" s="1577"/>
      <c r="X19" s="2609"/>
      <c r="Y19" s="3395"/>
      <c r="Z19" s="2608"/>
      <c r="AA19" s="1579">
        <v>1</v>
      </c>
      <c r="AB19" s="1579">
        <v>1</v>
      </c>
      <c r="AC19" s="1579">
        <v>1</v>
      </c>
    </row>
    <row r="20" spans="1:29" ht="57">
      <c r="A20" s="517"/>
      <c r="B20" s="562" t="s">
        <v>805</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6"/>
      <c r="M20" s="2138"/>
      <c r="N20" s="2138"/>
      <c r="O20" s="2145"/>
      <c r="P20" s="3395"/>
      <c r="Q20" s="1575" t="str">
        <f>B20</f>
        <v>自然及人文环境</v>
      </c>
      <c r="R20" s="1576" t="s">
        <v>8</v>
      </c>
      <c r="S20" s="1577">
        <f>F20</f>
        <v>100</v>
      </c>
      <c r="T20" s="1576" t="s">
        <v>8</v>
      </c>
      <c r="U20" s="1577">
        <f>H20</f>
        <v>100</v>
      </c>
      <c r="V20" s="1576" t="s">
        <v>8</v>
      </c>
      <c r="W20" s="1577">
        <f>J20</f>
        <v>100</v>
      </c>
      <c r="X20" s="1570"/>
      <c r="Y20" s="3395"/>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1"/>
      <c r="L21" s="2146"/>
      <c r="M21" s="2138"/>
      <c r="N21" s="2138"/>
      <c r="O21" s="2145"/>
      <c r="P21" s="3395"/>
      <c r="Q21" s="1575"/>
      <c r="R21" s="1576"/>
      <c r="S21" s="1577"/>
      <c r="T21" s="1576"/>
      <c r="U21" s="1577"/>
      <c r="V21" s="1576"/>
      <c r="W21" s="1577"/>
      <c r="X21" s="1570"/>
      <c r="Y21" s="3395"/>
      <c r="Z21" s="1578"/>
      <c r="AA21" s="1579">
        <v>1</v>
      </c>
      <c r="AB21" s="1579">
        <v>1</v>
      </c>
      <c r="AC21" s="1579">
        <v>1</v>
      </c>
    </row>
    <row r="22" spans="1:29" ht="15">
      <c r="A22" s="517"/>
      <c r="B22" s="562" t="s">
        <v>806</v>
      </c>
      <c r="C22" s="585"/>
      <c r="D22" s="561">
        <v>100</v>
      </c>
      <c r="E22" s="585"/>
      <c r="F22" s="577">
        <f>SUMIF(71:71,E22,72:72)-SUMIF(71:71,C22,72:72)+100</f>
        <v>100</v>
      </c>
      <c r="G22" s="585"/>
      <c r="H22" s="542">
        <f>SUMIF(71:71,G22,72:72)-SUMIF(71:71,C22,72:72)+100</f>
        <v>100</v>
      </c>
      <c r="I22" s="585"/>
      <c r="J22" s="542">
        <f>SUMIF(71:71,I22,72:72)-SUMIF(71:71,C22,72:72)+100</f>
        <v>100</v>
      </c>
      <c r="K22" s="586"/>
      <c r="L22" s="2146"/>
      <c r="M22" s="2138"/>
      <c r="N22" s="2138"/>
      <c r="O22" s="2145"/>
      <c r="P22" s="3395"/>
      <c r="Q22" s="1575" t="str">
        <f>B22</f>
        <v>楼层</v>
      </c>
      <c r="R22" s="1576" t="s">
        <v>8</v>
      </c>
      <c r="S22" s="1577">
        <f>F22</f>
        <v>100</v>
      </c>
      <c r="T22" s="1576" t="s">
        <v>8</v>
      </c>
      <c r="U22" s="1577">
        <f>H22</f>
        <v>100</v>
      </c>
      <c r="V22" s="1576" t="s">
        <v>8</v>
      </c>
      <c r="W22" s="1577">
        <f>J22</f>
        <v>100</v>
      </c>
      <c r="X22" s="1570"/>
      <c r="Y22" s="3395"/>
      <c r="Z22" s="1578" t="str">
        <f>Q22</f>
        <v>楼层</v>
      </c>
      <c r="AA22" s="1579">
        <f t="shared" si="3"/>
        <v>1</v>
      </c>
      <c r="AB22" s="1579">
        <f t="shared" si="4"/>
        <v>1</v>
      </c>
      <c r="AC22" s="1579">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6"/>
      <c r="M23" s="2138"/>
      <c r="N23" s="2138"/>
      <c r="O23" s="2145"/>
      <c r="P23" s="3395"/>
      <c r="Q23" s="1575">
        <f>B23</f>
        <v>111</v>
      </c>
      <c r="R23" s="1576" t="s">
        <v>8</v>
      </c>
      <c r="S23" s="1577">
        <f>F23</f>
        <v>100</v>
      </c>
      <c r="T23" s="1576" t="s">
        <v>8</v>
      </c>
      <c r="U23" s="1577">
        <f>H23</f>
        <v>100</v>
      </c>
      <c r="V23" s="1576" t="s">
        <v>8</v>
      </c>
      <c r="W23" s="1577">
        <f>J23</f>
        <v>100</v>
      </c>
      <c r="X23" s="1570"/>
      <c r="Y23" s="3395"/>
      <c r="Z23" s="1578">
        <f>Q23</f>
        <v>111</v>
      </c>
      <c r="AA23" s="1579">
        <f t="shared" si="3"/>
        <v>1</v>
      </c>
      <c r="AB23" s="1579">
        <f t="shared" si="4"/>
        <v>1</v>
      </c>
      <c r="AC23" s="1579">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6"/>
      <c r="M24" s="2138"/>
      <c r="N24" s="2138"/>
      <c r="O24" s="2145"/>
      <c r="P24" s="3395"/>
      <c r="Q24" s="1575">
        <f t="shared" ref="Q24:Q36" si="11">B24</f>
        <v>111</v>
      </c>
      <c r="R24" s="1576" t="s">
        <v>8</v>
      </c>
      <c r="S24" s="1577">
        <f>F24</f>
        <v>100</v>
      </c>
      <c r="T24" s="1576" t="s">
        <v>8</v>
      </c>
      <c r="U24" s="1577">
        <f>H24</f>
        <v>100</v>
      </c>
      <c r="V24" s="1576" t="s">
        <v>8</v>
      </c>
      <c r="W24" s="1577">
        <f>J24</f>
        <v>100</v>
      </c>
      <c r="X24" s="1570"/>
      <c r="Y24" s="3395"/>
      <c r="Z24" s="1578">
        <f>Q24</f>
        <v>111</v>
      </c>
      <c r="AA24" s="1579">
        <f t="shared" si="3"/>
        <v>1</v>
      </c>
      <c r="AB24" s="1579">
        <f t="shared" si="4"/>
        <v>1</v>
      </c>
      <c r="AC24" s="1579">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9"/>
      <c r="M25" s="2140"/>
      <c r="N25" s="2140"/>
      <c r="O25" s="2141"/>
      <c r="P25" s="3395"/>
      <c r="Q25" s="1153">
        <f t="shared" si="11"/>
        <v>111</v>
      </c>
      <c r="R25" s="1571" t="s">
        <v>8</v>
      </c>
      <c r="S25" s="1572">
        <f>F25</f>
        <v>100</v>
      </c>
      <c r="T25" s="1571" t="s">
        <v>8</v>
      </c>
      <c r="U25" s="1572">
        <f>H25</f>
        <v>100</v>
      </c>
      <c r="V25" s="1571" t="s">
        <v>8</v>
      </c>
      <c r="W25" s="1572">
        <f>J25</f>
        <v>100</v>
      </c>
      <c r="X25" s="1573"/>
      <c r="Y25" s="3395"/>
      <c r="Z25" s="1152">
        <f>Q25</f>
        <v>111</v>
      </c>
      <c r="AA25" s="1579">
        <f>D25/F25</f>
        <v>1</v>
      </c>
      <c r="AB25" s="1579">
        <f>D25/H25</f>
        <v>1</v>
      </c>
      <c r="AC25" s="1579">
        <f>D25/J25</f>
        <v>1</v>
      </c>
    </row>
    <row r="26" spans="1:29" ht="15">
      <c r="A26" s="2937" t="s">
        <v>2761</v>
      </c>
      <c r="B26" s="170" t="s">
        <v>807</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6"/>
      <c r="M26" s="2138"/>
      <c r="N26" s="2138"/>
      <c r="O26" s="2145"/>
      <c r="P26" s="3396"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397" t="s">
        <v>551</v>
      </c>
      <c r="Z26" s="1578" t="str">
        <f t="shared" ref="Z26:Z36" si="15">Q26</f>
        <v>配套类型</v>
      </c>
      <c r="AA26" s="1579">
        <f t="shared" si="3"/>
        <v>1</v>
      </c>
      <c r="AB26" s="1579">
        <f t="shared" si="4"/>
        <v>1</v>
      </c>
      <c r="AC26" s="1579">
        <f t="shared" si="5"/>
        <v>1</v>
      </c>
    </row>
    <row r="27" spans="1:29" s="1341" customFormat="1" ht="15">
      <c r="A27" s="931"/>
      <c r="B27" s="584" t="s">
        <v>808</v>
      </c>
      <c r="C27" s="932"/>
      <c r="D27" s="254">
        <v>100</v>
      </c>
      <c r="E27" s="932"/>
      <c r="F27" s="577">
        <f>SUMIF(81:81,E27,82:82)-SUMIF(81:81,C27,82:82)+100</f>
        <v>100</v>
      </c>
      <c r="G27" s="932"/>
      <c r="H27" s="542">
        <f>SUMIF(81:81,G27,82:82)-SUMIF(81:81,C27,82:82)+100</f>
        <v>100</v>
      </c>
      <c r="I27" s="932"/>
      <c r="J27" s="542">
        <f>SUMIF(81:81,I27,82:82)-SUMIF(81:81,C27,82:82)+100</f>
        <v>100</v>
      </c>
      <c r="K27" s="583"/>
      <c r="L27" s="2144"/>
      <c r="M27" s="2175"/>
      <c r="N27" s="2175"/>
      <c r="O27" s="2147"/>
      <c r="P27" s="3397"/>
      <c r="Q27" s="1608" t="str">
        <f t="shared" si="11"/>
        <v>项目停车位配比</v>
      </c>
      <c r="R27" s="1580" t="s">
        <v>8</v>
      </c>
      <c r="S27" s="1581">
        <f t="shared" si="12"/>
        <v>100</v>
      </c>
      <c r="T27" s="1580" t="s">
        <v>8</v>
      </c>
      <c r="U27" s="1581">
        <f t="shared" si="13"/>
        <v>100</v>
      </c>
      <c r="V27" s="1580" t="s">
        <v>8</v>
      </c>
      <c r="W27" s="1581">
        <f t="shared" si="14"/>
        <v>100</v>
      </c>
      <c r="X27" s="1582"/>
      <c r="Y27" s="3397"/>
      <c r="Z27" s="1583" t="str">
        <f t="shared" si="15"/>
        <v>项目停车位配比</v>
      </c>
      <c r="AA27" s="1579">
        <f t="shared" si="3"/>
        <v>1</v>
      </c>
      <c r="AB27" s="1579">
        <f t="shared" si="4"/>
        <v>1</v>
      </c>
      <c r="AC27" s="1579">
        <f t="shared" si="5"/>
        <v>1</v>
      </c>
    </row>
    <row r="28" spans="1:29" ht="15">
      <c r="A28" s="933"/>
      <c r="B28" s="584" t="s">
        <v>809</v>
      </c>
      <c r="C28" s="576"/>
      <c r="D28" s="542">
        <v>100</v>
      </c>
      <c r="E28" s="576"/>
      <c r="F28" s="577">
        <f>SUMIF(83:83,E28,84:84)-SUMIF(83:83,C28,84:84)+100</f>
        <v>100</v>
      </c>
      <c r="G28" s="576"/>
      <c r="H28" s="542">
        <f>SUMIF(83:83,G28,84:84)-SUMIF(83:83,C28,84:84)+100</f>
        <v>100</v>
      </c>
      <c r="I28" s="576"/>
      <c r="J28" s="542">
        <f>SUMIF(83:83,I28,84:84)-SUMIF(83:83,C28,84:84)+100</f>
        <v>100</v>
      </c>
      <c r="K28" s="586"/>
      <c r="L28" s="2146"/>
      <c r="M28" s="2138"/>
      <c r="N28" s="2138"/>
      <c r="O28" s="2145"/>
      <c r="P28" s="3397"/>
      <c r="Q28" s="1575" t="str">
        <f t="shared" si="11"/>
        <v>公共部分装修</v>
      </c>
      <c r="R28" s="1576" t="s">
        <v>8</v>
      </c>
      <c r="S28" s="1577">
        <f t="shared" si="12"/>
        <v>100</v>
      </c>
      <c r="T28" s="1576" t="s">
        <v>8</v>
      </c>
      <c r="U28" s="1577">
        <f t="shared" si="13"/>
        <v>100</v>
      </c>
      <c r="V28" s="1576" t="s">
        <v>8</v>
      </c>
      <c r="W28" s="1577">
        <f t="shared" si="14"/>
        <v>100</v>
      </c>
      <c r="X28" s="1570"/>
      <c r="Y28" s="3397"/>
      <c r="Z28" s="1578" t="str">
        <f t="shared" si="15"/>
        <v>公共部分装修</v>
      </c>
      <c r="AA28" s="1579">
        <f t="shared" si="3"/>
        <v>1</v>
      </c>
      <c r="AB28" s="1579">
        <f t="shared" si="4"/>
        <v>1</v>
      </c>
      <c r="AC28" s="1579">
        <f t="shared" si="5"/>
        <v>1</v>
      </c>
    </row>
    <row r="29" spans="1:29" ht="15">
      <c r="A29" s="933"/>
      <c r="B29" s="584" t="s">
        <v>810</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6"/>
      <c r="M29" s="2138"/>
      <c r="N29" s="2138"/>
      <c r="O29" s="2145"/>
      <c r="P29" s="3397"/>
      <c r="Q29" s="1575" t="str">
        <f t="shared" si="11"/>
        <v>成新率</v>
      </c>
      <c r="R29" s="1576" t="s">
        <v>8</v>
      </c>
      <c r="S29" s="1577" t="e">
        <f t="shared" si="12"/>
        <v>#N/A</v>
      </c>
      <c r="T29" s="1576" t="s">
        <v>8</v>
      </c>
      <c r="U29" s="1577" t="e">
        <f t="shared" si="13"/>
        <v>#N/A</v>
      </c>
      <c r="V29" s="1576" t="s">
        <v>8</v>
      </c>
      <c r="W29" s="1577" t="e">
        <f t="shared" si="14"/>
        <v>#N/A</v>
      </c>
      <c r="X29" s="1570"/>
      <c r="Y29" s="3397"/>
      <c r="Z29" s="1578" t="str">
        <f t="shared" si="15"/>
        <v>成新率</v>
      </c>
      <c r="AA29" s="1579" t="e">
        <f t="shared" si="3"/>
        <v>#N/A</v>
      </c>
      <c r="AB29" s="1579" t="e">
        <f t="shared" si="4"/>
        <v>#N/A</v>
      </c>
      <c r="AC29" s="1579" t="e">
        <f t="shared" si="5"/>
        <v>#N/A</v>
      </c>
    </row>
    <row r="30" spans="1:29" ht="15">
      <c r="A30" s="933"/>
      <c r="B30" s="584" t="s">
        <v>811</v>
      </c>
      <c r="C30" s="934"/>
      <c r="D30" s="542">
        <v>100</v>
      </c>
      <c r="E30" s="934"/>
      <c r="F30" s="577">
        <f>SUMIF(88:88,E30,89:89)-SUMIF(88:88,C30,89:89)+100</f>
        <v>100</v>
      </c>
      <c r="G30" s="934"/>
      <c r="H30" s="542">
        <f>SUMIF(88:88,E30,89:89)-SUMIF(88:88,C30,89:89)+100</f>
        <v>100</v>
      </c>
      <c r="I30" s="934"/>
      <c r="J30" s="542">
        <f>SUMIF(88:88,E30,89:89)-SUMIF(88:88,C30,89:89)+100</f>
        <v>100</v>
      </c>
      <c r="K30" s="586"/>
      <c r="L30" s="2146"/>
      <c r="M30" s="2138"/>
      <c r="N30" s="2138"/>
      <c r="O30" s="2145"/>
      <c r="P30" s="3397"/>
      <c r="Q30" s="1575" t="str">
        <f t="shared" si="11"/>
        <v>物业等级</v>
      </c>
      <c r="R30" s="1576" t="s">
        <v>8</v>
      </c>
      <c r="S30" s="1577">
        <f t="shared" si="12"/>
        <v>100</v>
      </c>
      <c r="T30" s="1576" t="s">
        <v>8</v>
      </c>
      <c r="U30" s="1577">
        <f t="shared" si="13"/>
        <v>100</v>
      </c>
      <c r="V30" s="1576" t="s">
        <v>8</v>
      </c>
      <c r="W30" s="1577">
        <f t="shared" si="14"/>
        <v>100</v>
      </c>
      <c r="X30" s="1570"/>
      <c r="Y30" s="3397"/>
      <c r="Z30" s="1578" t="str">
        <f t="shared" si="15"/>
        <v>物业等级</v>
      </c>
      <c r="AA30" s="1579">
        <f t="shared" si="3"/>
        <v>1</v>
      </c>
      <c r="AB30" s="1579">
        <f t="shared" si="4"/>
        <v>1</v>
      </c>
      <c r="AC30" s="1579">
        <f t="shared" si="5"/>
        <v>1</v>
      </c>
    </row>
    <row r="31" spans="1:29" s="1222" customFormat="1" ht="15">
      <c r="A31" s="935"/>
      <c r="B31" s="584" t="s">
        <v>812</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9"/>
      <c r="M31" s="2140"/>
      <c r="N31" s="2140"/>
      <c r="O31" s="2141"/>
      <c r="P31" s="3397"/>
      <c r="Q31" s="1153" t="str">
        <f t="shared" si="11"/>
        <v>停车位面积</v>
      </c>
      <c r="R31" s="1571" t="s">
        <v>8</v>
      </c>
      <c r="S31" s="1572" t="e">
        <f t="shared" si="12"/>
        <v>#N/A</v>
      </c>
      <c r="T31" s="1571" t="s">
        <v>8</v>
      </c>
      <c r="U31" s="1572" t="e">
        <f t="shared" si="13"/>
        <v>#N/A</v>
      </c>
      <c r="V31" s="1571" t="s">
        <v>8</v>
      </c>
      <c r="W31" s="1572" t="e">
        <f t="shared" si="14"/>
        <v>#N/A</v>
      </c>
      <c r="X31" s="1573"/>
      <c r="Y31" s="3397"/>
      <c r="Z31" s="1152" t="str">
        <f t="shared" si="15"/>
        <v>停车位面积</v>
      </c>
      <c r="AA31" s="1574" t="e">
        <f t="shared" si="3"/>
        <v>#N/A</v>
      </c>
      <c r="AB31" s="1574" t="e">
        <f t="shared" si="4"/>
        <v>#N/A</v>
      </c>
      <c r="AC31" s="1574" t="e">
        <f t="shared" si="5"/>
        <v>#N/A</v>
      </c>
    </row>
    <row r="32" spans="1:29" ht="15">
      <c r="A32" s="933"/>
      <c r="B32" s="584" t="s">
        <v>813</v>
      </c>
      <c r="C32" s="576"/>
      <c r="D32" s="542">
        <v>100</v>
      </c>
      <c r="E32" s="576"/>
      <c r="F32" s="577">
        <f>SUMIF(93:93,E32,94:94)-SUMIF(93:93,C32,94:94)+100</f>
        <v>100</v>
      </c>
      <c r="G32" s="576"/>
      <c r="H32" s="542">
        <f>SUMIF(93:93,G32,94:94)-SUMIF(93:93,C32,94:94)+100</f>
        <v>100</v>
      </c>
      <c r="I32" s="576"/>
      <c r="J32" s="542">
        <f>SUMIF(93:93,I32,94:94)-SUMIF(93:93,C32,94:94)+100</f>
        <v>100</v>
      </c>
      <c r="K32" s="586"/>
      <c r="L32" s="2146"/>
      <c r="M32" s="2138"/>
      <c r="N32" s="2138"/>
      <c r="O32" s="2145"/>
      <c r="P32" s="3397" t="s">
        <v>551</v>
      </c>
      <c r="Q32" s="1575" t="str">
        <f t="shared" si="11"/>
        <v>车位类型</v>
      </c>
      <c r="R32" s="1576" t="s">
        <v>8</v>
      </c>
      <c r="S32" s="1577">
        <f t="shared" si="12"/>
        <v>100</v>
      </c>
      <c r="T32" s="1576" t="s">
        <v>8</v>
      </c>
      <c r="U32" s="1577">
        <f t="shared" si="13"/>
        <v>100</v>
      </c>
      <c r="V32" s="1576" t="s">
        <v>8</v>
      </c>
      <c r="W32" s="1577">
        <f t="shared" si="14"/>
        <v>100</v>
      </c>
      <c r="X32" s="1570"/>
      <c r="Y32" s="3397" t="s">
        <v>551</v>
      </c>
      <c r="Z32" s="1578" t="str">
        <f t="shared" si="15"/>
        <v>车位类型</v>
      </c>
      <c r="AA32" s="1579">
        <f t="shared" si="3"/>
        <v>1</v>
      </c>
      <c r="AB32" s="1579">
        <f t="shared" si="4"/>
        <v>1</v>
      </c>
      <c r="AC32" s="1579">
        <f t="shared" si="5"/>
        <v>1</v>
      </c>
    </row>
    <row r="33" spans="1:29" ht="15">
      <c r="A33" s="933"/>
      <c r="B33" s="584" t="s">
        <v>814</v>
      </c>
      <c r="C33" s="576"/>
      <c r="D33" s="542">
        <v>100</v>
      </c>
      <c r="E33" s="576"/>
      <c r="F33" s="577">
        <f>SUMIF(95:95,E33,96:96)-SUMIF(95:95,C33,96:96)+100</f>
        <v>100</v>
      </c>
      <c r="G33" s="576"/>
      <c r="H33" s="542">
        <f>SUMIF(95:95,G33,96:96)-SUMIF(95:95,C33,96:96)+100</f>
        <v>100</v>
      </c>
      <c r="I33" s="576"/>
      <c r="J33" s="542">
        <f>SUMIF(95:95,I33,96:96)-SUMIF(95:95,C33,96:96)+100</f>
        <v>100</v>
      </c>
      <c r="K33" s="586"/>
      <c r="L33" s="2146"/>
      <c r="M33" s="2138"/>
      <c r="N33" s="2138"/>
      <c r="O33" s="2145"/>
      <c r="P33" s="3397"/>
      <c r="Q33" s="1575" t="str">
        <f t="shared" si="11"/>
        <v>是否直接入户</v>
      </c>
      <c r="R33" s="1576" t="s">
        <v>8</v>
      </c>
      <c r="S33" s="1577">
        <f t="shared" si="12"/>
        <v>100</v>
      </c>
      <c r="T33" s="1576" t="s">
        <v>8</v>
      </c>
      <c r="U33" s="1577">
        <f t="shared" si="13"/>
        <v>100</v>
      </c>
      <c r="V33" s="1576" t="s">
        <v>8</v>
      </c>
      <c r="W33" s="1577">
        <f t="shared" si="14"/>
        <v>100</v>
      </c>
      <c r="X33" s="1570"/>
      <c r="Y33" s="3397"/>
      <c r="Z33" s="1578" t="str">
        <f t="shared" si="15"/>
        <v>是否直接入户</v>
      </c>
      <c r="AA33" s="1579">
        <f t="shared" si="3"/>
        <v>1</v>
      </c>
      <c r="AB33" s="1579">
        <f t="shared" si="4"/>
        <v>1</v>
      </c>
      <c r="AC33" s="1579">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6"/>
      <c r="M34" s="2138"/>
      <c r="N34" s="2138"/>
      <c r="O34" s="2145"/>
      <c r="P34" s="3397"/>
      <c r="Q34" s="1575">
        <f t="shared" si="11"/>
        <v>111</v>
      </c>
      <c r="R34" s="1576" t="s">
        <v>8</v>
      </c>
      <c r="S34" s="1577">
        <f t="shared" si="12"/>
        <v>100</v>
      </c>
      <c r="T34" s="1576" t="s">
        <v>8</v>
      </c>
      <c r="U34" s="1577">
        <f t="shared" si="13"/>
        <v>100</v>
      </c>
      <c r="V34" s="1576" t="s">
        <v>8</v>
      </c>
      <c r="W34" s="1577">
        <f t="shared" si="14"/>
        <v>100</v>
      </c>
      <c r="X34" s="1570"/>
      <c r="Y34" s="3397"/>
      <c r="Z34" s="1578">
        <f t="shared" si="15"/>
        <v>111</v>
      </c>
      <c r="AA34" s="1579">
        <f t="shared" si="3"/>
        <v>1</v>
      </c>
      <c r="AB34" s="1579">
        <f t="shared" si="4"/>
        <v>1</v>
      </c>
      <c r="AC34" s="1579">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4"/>
      <c r="M35" s="2175"/>
      <c r="N35" s="2175"/>
      <c r="O35" s="2147"/>
      <c r="P35" s="3397"/>
      <c r="Q35" s="1608">
        <f t="shared" si="11"/>
        <v>111</v>
      </c>
      <c r="R35" s="1580" t="s">
        <v>8</v>
      </c>
      <c r="S35" s="1581">
        <f t="shared" si="12"/>
        <v>100</v>
      </c>
      <c r="T35" s="1580" t="s">
        <v>8</v>
      </c>
      <c r="U35" s="1581">
        <f t="shared" si="13"/>
        <v>100</v>
      </c>
      <c r="V35" s="1580" t="s">
        <v>8</v>
      </c>
      <c r="W35" s="1581">
        <f t="shared" si="14"/>
        <v>100</v>
      </c>
      <c r="X35" s="1582"/>
      <c r="Y35" s="3397"/>
      <c r="Z35" s="1583">
        <f t="shared" si="15"/>
        <v>111</v>
      </c>
      <c r="AA35" s="1579">
        <f t="shared" si="3"/>
        <v>1</v>
      </c>
      <c r="AB35" s="1579">
        <f t="shared" si="4"/>
        <v>1</v>
      </c>
      <c r="AC35" s="1579">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6"/>
      <c r="M36" s="2138"/>
      <c r="N36" s="2138"/>
      <c r="O36" s="2145"/>
      <c r="P36" s="3397"/>
      <c r="Q36" s="1575">
        <f t="shared" si="11"/>
        <v>111</v>
      </c>
      <c r="R36" s="1576" t="s">
        <v>8</v>
      </c>
      <c r="S36" s="1577">
        <f t="shared" si="12"/>
        <v>100</v>
      </c>
      <c r="T36" s="1576" t="s">
        <v>8</v>
      </c>
      <c r="U36" s="1577">
        <f t="shared" si="13"/>
        <v>100</v>
      </c>
      <c r="V36" s="1576" t="s">
        <v>8</v>
      </c>
      <c r="W36" s="1577">
        <f t="shared" si="14"/>
        <v>100</v>
      </c>
      <c r="X36" s="1570"/>
      <c r="Y36" s="3397"/>
      <c r="Z36" s="1578">
        <f t="shared" si="15"/>
        <v>111</v>
      </c>
      <c r="AA36" s="1579">
        <f t="shared" si="3"/>
        <v>1</v>
      </c>
      <c r="AB36" s="1579">
        <f t="shared" si="4"/>
        <v>1</v>
      </c>
      <c r="AC36" s="1579">
        <f t="shared" si="5"/>
        <v>1</v>
      </c>
    </row>
    <row r="37" spans="1:29" ht="15">
      <c r="A37" s="1850" t="s">
        <v>2078</v>
      </c>
      <c r="B37" s="1851" t="s">
        <v>2079</v>
      </c>
      <c r="C37" s="2655" t="s">
        <v>1</v>
      </c>
      <c r="D37" s="2656"/>
      <c r="E37" s="2657"/>
      <c r="F37" s="2658"/>
      <c r="G37" s="2659"/>
      <c r="H37" s="2660"/>
      <c r="I37" s="2657"/>
      <c r="J37" s="2660"/>
      <c r="K37" s="1614"/>
      <c r="L37" s="2148"/>
      <c r="M37" s="2149"/>
      <c r="N37" s="2138"/>
      <c r="O37" s="2149"/>
      <c r="P37" s="3360" t="str">
        <f>A37</f>
        <v>成交单价</v>
      </c>
      <c r="Q37" s="3360"/>
      <c r="R37" s="3473">
        <f>E37</f>
        <v>0</v>
      </c>
      <c r="S37" s="3473"/>
      <c r="T37" s="3473">
        <f>G37</f>
        <v>0</v>
      </c>
      <c r="U37" s="3473"/>
      <c r="V37" s="3473">
        <f>I37</f>
        <v>0</v>
      </c>
      <c r="W37" s="3473"/>
      <c r="X37" s="1562"/>
      <c r="Y37" s="1584"/>
      <c r="Z37" s="1562"/>
      <c r="AA37" s="1562"/>
      <c r="AB37" s="1562"/>
      <c r="AC37" s="1562"/>
    </row>
    <row r="38" spans="1:29" ht="15.75" thickBot="1">
      <c r="A38" s="617" t="s">
        <v>2766</v>
      </c>
      <c r="B38" s="890"/>
      <c r="C38" s="2661" t="e">
        <f>R39</f>
        <v>#DIV/0!</v>
      </c>
      <c r="D38" s="2662"/>
      <c r="E38" s="2663" t="e">
        <f>R38</f>
        <v>#DIV/0!</v>
      </c>
      <c r="F38" s="2663"/>
      <c r="G38" s="2661" t="e">
        <f>T38</f>
        <v>#DIV/0!</v>
      </c>
      <c r="H38" s="2662"/>
      <c r="I38" s="2663" t="e">
        <f>V38</f>
        <v>#DIV/0!</v>
      </c>
      <c r="J38" s="2662"/>
      <c r="K38" s="1615"/>
      <c r="L38" s="2148"/>
      <c r="M38" s="2149"/>
      <c r="N38" s="2149"/>
      <c r="O38" s="2149"/>
      <c r="P38" s="3360" t="str">
        <f>A38</f>
        <v>比较价格（元/平方米）</v>
      </c>
      <c r="Q38" s="3360"/>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62"/>
      <c r="Y38" s="1562"/>
      <c r="Z38" s="1562"/>
      <c r="AA38" s="1562"/>
      <c r="AB38" s="1562"/>
      <c r="AC38" s="1562"/>
    </row>
    <row r="39" spans="1:29" ht="15.75" thickBot="1">
      <c r="A39" s="623" t="s">
        <v>2942</v>
      </c>
      <c r="B39" s="624"/>
      <c r="C39" s="2664" t="e">
        <f>R39</f>
        <v>#DIV/0!</v>
      </c>
      <c r="D39" s="2664"/>
      <c r="E39" s="2664"/>
      <c r="F39" s="2664"/>
      <c r="G39" s="2664"/>
      <c r="H39" s="2664"/>
      <c r="I39" s="2664"/>
      <c r="J39" s="2664"/>
      <c r="K39" s="1616"/>
      <c r="L39" s="2148"/>
      <c r="M39" s="2149"/>
      <c r="N39" s="2149"/>
      <c r="O39" s="2149"/>
      <c r="P39" s="3357" t="str">
        <f>A39</f>
        <v>估价对象XX用房的比较价格（楼面单价，元/平方米）</v>
      </c>
      <c r="Q39" s="3358"/>
      <c r="R39" s="3472" t="e">
        <f>IF(F1="售价",ROUND(AVERAGE(R38:V38),0),ROUND(AVERAGE(R38:V38),1))</f>
        <v>#DIV/0!</v>
      </c>
      <c r="S39" s="3472"/>
      <c r="T39" s="3472"/>
      <c r="U39" s="3472"/>
      <c r="V39" s="3472"/>
      <c r="W39" s="3472"/>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7" customFormat="1" ht="13.5" customHeight="1">
      <c r="A44" s="2150"/>
      <c r="B44" s="2150"/>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7"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49" customFormat="1" ht="15">
      <c r="A48" s="647" t="s">
        <v>530</v>
      </c>
      <c r="B48" s="648"/>
      <c r="C48" s="2832" t="str">
        <f>YEAR(C7)&amp;"-"&amp;MONTH(C7)</f>
        <v>2017-10</v>
      </c>
      <c r="D48" s="2834">
        <f>EDATE(C48,-1)</f>
        <v>42979</v>
      </c>
      <c r="E48" s="2834">
        <f t="shared" ref="E48:O48" si="16">EDATE(D48,-1)</f>
        <v>42948</v>
      </c>
      <c r="F48" s="2834">
        <f t="shared" si="16"/>
        <v>42917</v>
      </c>
      <c r="G48" s="2834">
        <f t="shared" si="16"/>
        <v>42887</v>
      </c>
      <c r="H48" s="2834">
        <f t="shared" si="16"/>
        <v>42856</v>
      </c>
      <c r="I48" s="2834">
        <f t="shared" si="16"/>
        <v>42826</v>
      </c>
      <c r="J48" s="2834">
        <f t="shared" si="16"/>
        <v>42795</v>
      </c>
      <c r="K48" s="2834">
        <f t="shared" si="16"/>
        <v>42767</v>
      </c>
      <c r="L48" s="2834">
        <f t="shared" si="16"/>
        <v>42736</v>
      </c>
      <c r="M48" s="2834">
        <f t="shared" si="16"/>
        <v>42705</v>
      </c>
      <c r="N48" s="2834">
        <f t="shared" si="16"/>
        <v>42675</v>
      </c>
      <c r="O48" s="2834">
        <f t="shared" si="16"/>
        <v>42644</v>
      </c>
      <c r="P48" s="2164"/>
      <c r="Q48" s="2165"/>
      <c r="R48" s="2165"/>
      <c r="S48" s="2165"/>
      <c r="T48" s="2165"/>
      <c r="U48" s="2165"/>
      <c r="V48" s="2165"/>
      <c r="W48" s="2165"/>
      <c r="X48" s="2165"/>
      <c r="Y48" s="2165"/>
      <c r="Z48" s="2165"/>
      <c r="AA48" s="2165"/>
      <c r="AB48" s="2165"/>
      <c r="AC48" s="2165"/>
    </row>
    <row r="49" spans="1:29" s="1222" customFormat="1" ht="15">
      <c r="A49" s="649"/>
      <c r="B49" s="650"/>
      <c r="C49" s="2833">
        <v>100</v>
      </c>
      <c r="D49" s="652"/>
      <c r="E49" s="652"/>
      <c r="F49" s="652"/>
      <c r="G49" s="652"/>
      <c r="H49" s="652"/>
      <c r="I49" s="652"/>
      <c r="J49" s="652"/>
      <c r="K49" s="652"/>
      <c r="L49" s="652"/>
      <c r="M49" s="653"/>
      <c r="N49" s="652"/>
      <c r="O49" s="654"/>
      <c r="P49" s="2162"/>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2"/>
      <c r="Q50" s="2162"/>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66"/>
      <c r="O51" s="2166"/>
      <c r="P51" s="2167"/>
      <c r="Q51" s="2162"/>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66"/>
      <c r="O52" s="2166"/>
      <c r="P52" s="2162"/>
      <c r="Q52" s="2162"/>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68"/>
      <c r="O53" s="2168"/>
      <c r="P53" s="2169"/>
      <c r="Q53" s="2162"/>
      <c r="R53" s="2149"/>
      <c r="S53" s="2149"/>
      <c r="T53" s="2149"/>
      <c r="U53" s="2149"/>
      <c r="V53" s="2149"/>
      <c r="W53" s="2149"/>
      <c r="X53" s="2149"/>
      <c r="Y53" s="2149"/>
      <c r="Z53" s="2149"/>
      <c r="AA53" s="2149"/>
      <c r="AB53" s="2149"/>
      <c r="AC53" s="2149"/>
    </row>
    <row r="54" spans="1:29" ht="15.75" thickBot="1">
      <c r="A54" s="671"/>
      <c r="B54" s="672"/>
      <c r="C54" s="673"/>
      <c r="D54" s="673"/>
      <c r="E54" s="673"/>
      <c r="F54" s="673"/>
      <c r="G54" s="673"/>
      <c r="H54" s="673"/>
      <c r="I54" s="673"/>
      <c r="J54" s="673"/>
      <c r="K54" s="673"/>
      <c r="L54" s="673"/>
      <c r="M54" s="674"/>
      <c r="N54" s="2170"/>
      <c r="O54" s="2170"/>
      <c r="P54" s="2169"/>
      <c r="Q54" s="2162"/>
      <c r="R54" s="2149"/>
      <c r="S54" s="2149"/>
      <c r="T54" s="2149"/>
      <c r="U54" s="2149"/>
      <c r="V54" s="2149"/>
      <c r="W54" s="2149"/>
      <c r="X54" s="2149"/>
      <c r="Y54" s="2149"/>
      <c r="Z54" s="2149"/>
      <c r="AA54" s="2149"/>
      <c r="AB54" s="2149"/>
      <c r="AC54" s="2149"/>
    </row>
    <row r="55" spans="1:29" ht="27.75" thickTop="1">
      <c r="A55" s="671"/>
      <c r="B55" s="675" t="s">
        <v>538</v>
      </c>
      <c r="C55" s="676" t="s">
        <v>738</v>
      </c>
      <c r="D55" s="676" t="s">
        <v>739</v>
      </c>
      <c r="E55" s="676" t="s">
        <v>740</v>
      </c>
      <c r="F55" s="676" t="s">
        <v>741</v>
      </c>
      <c r="G55" s="676" t="s">
        <v>742</v>
      </c>
      <c r="H55" s="676" t="s">
        <v>743</v>
      </c>
      <c r="I55" s="676" t="s">
        <v>744</v>
      </c>
      <c r="J55" s="676"/>
      <c r="K55" s="677"/>
      <c r="L55" s="678"/>
      <c r="M55" s="679"/>
      <c r="N55" s="2168"/>
      <c r="O55" s="2168"/>
      <c r="P55" s="2169"/>
      <c r="Q55" s="2162"/>
      <c r="R55" s="2149"/>
      <c r="S55" s="2149"/>
      <c r="T55" s="2149"/>
      <c r="U55" s="2149"/>
      <c r="V55" s="2149"/>
      <c r="W55" s="2149"/>
      <c r="X55" s="2149"/>
      <c r="Y55" s="2149"/>
      <c r="Z55" s="2149"/>
      <c r="AA55" s="2149"/>
      <c r="AB55" s="2149"/>
      <c r="AC55" s="2149"/>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0"/>
      <c r="O56" s="2170"/>
      <c r="P56" s="2169"/>
      <c r="Q56" s="2162"/>
      <c r="R56" s="2149"/>
      <c r="S56" s="2149"/>
      <c r="T56" s="2149"/>
      <c r="U56" s="2149"/>
      <c r="V56" s="2149"/>
      <c r="W56" s="2149"/>
      <c r="X56" s="2149"/>
      <c r="Y56" s="2149"/>
      <c r="Z56" s="2149"/>
      <c r="AA56" s="2149"/>
      <c r="AB56" s="2149"/>
      <c r="AC56" s="2149"/>
    </row>
    <row r="57" spans="1:29" ht="15.75" thickTop="1">
      <c r="A57" s="671"/>
      <c r="B57" s="937">
        <f>B11</f>
        <v>111</v>
      </c>
      <c r="C57" s="543"/>
      <c r="D57" s="543"/>
      <c r="E57" s="543"/>
      <c r="F57" s="543"/>
      <c r="G57" s="543"/>
      <c r="H57" s="543"/>
      <c r="I57" s="543"/>
      <c r="J57" s="543"/>
      <c r="K57" s="686"/>
      <c r="L57" s="687"/>
      <c r="M57" s="688"/>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94"/>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s="1341" customFormat="1" ht="15.75" thickTop="1">
      <c r="A59" s="689"/>
      <c r="B59" s="675">
        <f>B12</f>
        <v>111</v>
      </c>
      <c r="C59" s="543"/>
      <c r="D59" s="543"/>
      <c r="E59" s="543"/>
      <c r="F59" s="543"/>
      <c r="G59" s="690"/>
      <c r="H59" s="691"/>
      <c r="I59" s="691"/>
      <c r="J59" s="691"/>
      <c r="K59" s="691"/>
      <c r="L59" s="692"/>
      <c r="M59" s="693"/>
      <c r="N59" s="2171"/>
      <c r="O59" s="2171"/>
      <c r="P59" s="2172"/>
      <c r="Q59" s="2173"/>
      <c r="R59" s="2174"/>
      <c r="S59" s="2174"/>
      <c r="T59" s="2174"/>
      <c r="U59" s="2174"/>
      <c r="V59" s="2174"/>
      <c r="W59" s="2174"/>
      <c r="X59" s="2174"/>
      <c r="Y59" s="2174"/>
      <c r="Z59" s="2174"/>
      <c r="AA59" s="2174"/>
      <c r="AB59" s="2174"/>
      <c r="AC59" s="2174"/>
    </row>
    <row r="60" spans="1:29" s="1341" customFormat="1" ht="15.75" thickBot="1">
      <c r="A60" s="689"/>
      <c r="B60" s="680"/>
      <c r="C60" s="694"/>
      <c r="D60" s="673"/>
      <c r="E60" s="673"/>
      <c r="F60" s="673"/>
      <c r="G60" s="673"/>
      <c r="H60" s="673"/>
      <c r="I60" s="673"/>
      <c r="J60" s="673"/>
      <c r="K60" s="673"/>
      <c r="L60" s="673"/>
      <c r="M60" s="674"/>
      <c r="N60" s="2170"/>
      <c r="O60" s="2170"/>
      <c r="P60" s="2172"/>
      <c r="Q60" s="2173"/>
      <c r="R60" s="2174"/>
      <c r="S60" s="2174"/>
      <c r="T60" s="2174"/>
      <c r="U60" s="2174"/>
      <c r="V60" s="2174"/>
      <c r="W60" s="2174"/>
      <c r="X60" s="2174"/>
      <c r="Y60" s="2174"/>
      <c r="Z60" s="2174"/>
      <c r="AA60" s="2174"/>
      <c r="AB60" s="2174"/>
      <c r="AC60" s="2174"/>
    </row>
    <row r="61" spans="1:29" s="1341" customFormat="1" ht="15.75" thickTop="1">
      <c r="A61" s="689"/>
      <c r="B61" s="675">
        <f>B13</f>
        <v>111</v>
      </c>
      <c r="C61" s="690"/>
      <c r="D61" s="690"/>
      <c r="E61" s="690"/>
      <c r="F61" s="690"/>
      <c r="G61" s="690"/>
      <c r="H61" s="691"/>
      <c r="I61" s="691"/>
      <c r="J61" s="691"/>
      <c r="K61" s="691"/>
      <c r="L61" s="692"/>
      <c r="M61" s="693"/>
      <c r="N61" s="2171"/>
      <c r="O61" s="2171"/>
      <c r="P61" s="2175"/>
      <c r="Q61" s="2176"/>
      <c r="R61" s="2174"/>
      <c r="S61" s="2174"/>
      <c r="T61" s="2174"/>
      <c r="U61" s="2174"/>
      <c r="V61" s="2174"/>
      <c r="W61" s="2174"/>
      <c r="X61" s="2174"/>
      <c r="Y61" s="2174"/>
      <c r="Z61" s="2174"/>
      <c r="AA61" s="2174"/>
      <c r="AB61" s="2174"/>
      <c r="AC61" s="2174"/>
    </row>
    <row r="62" spans="1:29" s="1341" customFormat="1" ht="15.75" thickBot="1">
      <c r="A62" s="689"/>
      <c r="B62" s="680"/>
      <c r="C62" s="694"/>
      <c r="D62" s="694"/>
      <c r="E62" s="694"/>
      <c r="F62" s="694"/>
      <c r="G62" s="694"/>
      <c r="H62" s="695"/>
      <c r="I62" s="695"/>
      <c r="J62" s="695"/>
      <c r="K62" s="695"/>
      <c r="L62" s="695"/>
      <c r="M62" s="696"/>
      <c r="N62" s="2171"/>
      <c r="O62" s="2171"/>
      <c r="P62" s="2172"/>
      <c r="Q62" s="2173"/>
      <c r="R62" s="2174"/>
      <c r="S62" s="2174"/>
      <c r="T62" s="2174"/>
      <c r="U62" s="2174"/>
      <c r="V62" s="2174"/>
      <c r="W62" s="2174"/>
      <c r="X62" s="2174"/>
      <c r="Y62" s="2174"/>
      <c r="Z62" s="2174"/>
      <c r="AA62" s="2174"/>
      <c r="AB62" s="2174"/>
      <c r="AC62" s="2174"/>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8"/>
      <c r="O63" s="2168"/>
      <c r="P63" s="2178"/>
      <c r="Q63" s="2162"/>
      <c r="R63" s="2149"/>
      <c r="S63" s="2149"/>
      <c r="T63" s="2149"/>
      <c r="U63" s="2149"/>
      <c r="V63" s="2149"/>
      <c r="W63" s="2149"/>
      <c r="X63" s="2149"/>
      <c r="Y63" s="2149"/>
      <c r="Z63" s="2149"/>
      <c r="AA63" s="2149"/>
      <c r="AB63" s="2149"/>
      <c r="AC63" s="2149"/>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1900" t="s">
        <v>2561</v>
      </c>
      <c r="C65" s="710" t="s">
        <v>580</v>
      </c>
      <c r="D65" s="710" t="s">
        <v>581</v>
      </c>
      <c r="E65" s="710" t="s">
        <v>582</v>
      </c>
      <c r="F65" s="710" t="s">
        <v>583</v>
      </c>
      <c r="G65" s="710" t="s">
        <v>584</v>
      </c>
      <c r="H65" s="676"/>
      <c r="I65" s="676"/>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2625" t="s">
        <v>2562</v>
      </c>
      <c r="C67" s="2626" t="s">
        <v>2563</v>
      </c>
      <c r="D67" s="2626" t="s">
        <v>2564</v>
      </c>
      <c r="E67" s="2626" t="s">
        <v>2565</v>
      </c>
      <c r="F67" s="2626" t="s">
        <v>2566</v>
      </c>
      <c r="G67" s="2626" t="s">
        <v>2567</v>
      </c>
      <c r="H67" s="676"/>
      <c r="I67" s="676"/>
      <c r="J67" s="676"/>
      <c r="K67" s="676"/>
      <c r="L67" s="676"/>
      <c r="M67" s="2629"/>
      <c r="N67" s="2170"/>
      <c r="O67" s="2170"/>
      <c r="P67" s="2169"/>
      <c r="Q67" s="2162"/>
      <c r="R67" s="2149"/>
      <c r="S67" s="2149"/>
      <c r="T67" s="2149"/>
      <c r="U67" s="2149"/>
      <c r="V67" s="2149"/>
      <c r="W67" s="2149"/>
      <c r="X67" s="2149"/>
      <c r="Y67" s="2149"/>
      <c r="Z67" s="2149"/>
      <c r="AA67" s="2149"/>
      <c r="AB67" s="2149"/>
      <c r="AC67" s="2149"/>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745</v>
      </c>
      <c r="C69" s="710" t="s">
        <v>580</v>
      </c>
      <c r="D69" s="710" t="s">
        <v>581</v>
      </c>
      <c r="E69" s="710" t="s">
        <v>582</v>
      </c>
      <c r="F69" s="710" t="s">
        <v>583</v>
      </c>
      <c r="G69" s="710" t="s">
        <v>584</v>
      </c>
      <c r="H69" s="676"/>
      <c r="I69" s="676"/>
      <c r="J69" s="676"/>
      <c r="K69" s="677"/>
      <c r="L69" s="678"/>
      <c r="M69" s="679"/>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ht="15.75" thickTop="1">
      <c r="A71" s="671"/>
      <c r="B71" s="675" t="s">
        <v>746</v>
      </c>
      <c r="C71" s="690"/>
      <c r="D71" s="690"/>
      <c r="E71" s="690"/>
      <c r="F71" s="690"/>
      <c r="G71" s="690"/>
      <c r="H71" s="720"/>
      <c r="I71" s="720"/>
      <c r="J71" s="720"/>
      <c r="K71" s="721"/>
      <c r="L71" s="722"/>
      <c r="M71" s="723"/>
      <c r="N71" s="2168"/>
      <c r="O71" s="2168"/>
      <c r="P71" s="2169"/>
      <c r="Q71" s="2162"/>
      <c r="R71" s="2149"/>
      <c r="S71" s="2149"/>
      <c r="T71" s="2149"/>
      <c r="U71" s="2149"/>
      <c r="V71" s="2149"/>
      <c r="W71" s="2149"/>
      <c r="X71" s="2149"/>
      <c r="Y71" s="2149"/>
      <c r="Z71" s="2149"/>
      <c r="AA71" s="2149"/>
      <c r="AB71" s="2149"/>
      <c r="AC71" s="2149"/>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0"/>
      <c r="O72" s="2170"/>
      <c r="P72" s="2169"/>
      <c r="Q72" s="2162"/>
      <c r="R72" s="2149"/>
      <c r="S72" s="2149"/>
      <c r="T72" s="2149"/>
      <c r="U72" s="2149"/>
      <c r="V72" s="2149"/>
      <c r="W72" s="2149"/>
      <c r="X72" s="2149"/>
      <c r="Y72" s="2149"/>
      <c r="Z72" s="2149"/>
      <c r="AA72" s="2149"/>
      <c r="AB72" s="2149"/>
      <c r="AC72" s="2149"/>
    </row>
    <row r="73" spans="1:29" s="1222" customFormat="1" ht="15.75" thickTop="1">
      <c r="A73" s="711"/>
      <c r="B73" s="675">
        <f>B23</f>
        <v>111</v>
      </c>
      <c r="C73" s="543"/>
      <c r="D73" s="543"/>
      <c r="E73" s="543"/>
      <c r="F73" s="543"/>
      <c r="G73" s="690"/>
      <c r="H73" s="690"/>
      <c r="I73" s="690"/>
      <c r="J73" s="690"/>
      <c r="K73" s="690"/>
      <c r="L73" s="892"/>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66"/>
      <c r="O75" s="2166"/>
      <c r="P75" s="2169"/>
      <c r="Q75" s="2162"/>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0"/>
      <c r="O76" s="2170"/>
      <c r="P76" s="2169"/>
      <c r="Q76" s="2162"/>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1"/>
      <c r="O77" s="2171"/>
      <c r="P77" s="2172"/>
      <c r="Q77" s="2173"/>
      <c r="R77" s="2174"/>
      <c r="S77" s="2174"/>
      <c r="T77" s="2174"/>
      <c r="U77" s="2174"/>
      <c r="V77" s="2174"/>
      <c r="W77" s="2174"/>
      <c r="X77" s="2174"/>
      <c r="Y77" s="2174"/>
      <c r="Z77" s="2174"/>
      <c r="AA77" s="2174"/>
      <c r="AB77" s="2174"/>
      <c r="AC77" s="2174"/>
    </row>
    <row r="78" spans="1:29" s="1341" customFormat="1" ht="15.75" thickBot="1">
      <c r="A78" s="689"/>
      <c r="B78" s="680"/>
      <c r="C78" s="694"/>
      <c r="D78" s="694"/>
      <c r="E78" s="694"/>
      <c r="F78" s="694"/>
      <c r="G78" s="673"/>
      <c r="H78" s="673"/>
      <c r="I78" s="673"/>
      <c r="J78" s="673"/>
      <c r="K78" s="673"/>
      <c r="L78" s="673"/>
      <c r="M78" s="674"/>
      <c r="N78" s="2171"/>
      <c r="O78" s="2171"/>
      <c r="P78" s="2172"/>
      <c r="Q78" s="2173"/>
      <c r="R78" s="2174"/>
      <c r="S78" s="2174"/>
      <c r="T78" s="2174"/>
      <c r="U78" s="2174"/>
      <c r="V78" s="2174"/>
      <c r="W78" s="2174"/>
      <c r="X78" s="2174"/>
      <c r="Y78" s="2174"/>
      <c r="Z78" s="2174"/>
      <c r="AA78" s="2174"/>
      <c r="AB78" s="2174"/>
      <c r="AC78" s="2174"/>
    </row>
    <row r="79" spans="1:29" ht="27.75" thickTop="1">
      <c r="A79" s="666" t="s">
        <v>552</v>
      </c>
      <c r="B79" s="667" t="s">
        <v>815</v>
      </c>
      <c r="C79" s="706">
        <f>C26</f>
        <v>0</v>
      </c>
      <c r="D79" s="600"/>
      <c r="E79" s="600"/>
      <c r="F79" s="600"/>
      <c r="G79" s="600"/>
      <c r="H79" s="600"/>
      <c r="I79" s="600"/>
      <c r="J79" s="600"/>
      <c r="K79" s="668"/>
      <c r="L79" s="669"/>
      <c r="M79" s="670"/>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1"/>
      <c r="B81" s="675" t="s">
        <v>816</v>
      </c>
      <c r="C81" s="938"/>
      <c r="D81" s="938"/>
      <c r="E81" s="938"/>
      <c r="F81" s="938"/>
      <c r="G81" s="938"/>
      <c r="H81" s="938"/>
      <c r="I81" s="938"/>
      <c r="J81" s="938"/>
      <c r="K81" s="939"/>
      <c r="L81" s="940"/>
      <c r="M81" s="941"/>
      <c r="N81" s="2166"/>
      <c r="O81" s="2166"/>
      <c r="P81" s="2169"/>
      <c r="Q81" s="2162"/>
      <c r="R81" s="2149"/>
      <c r="S81" s="2149"/>
      <c r="T81" s="2149"/>
      <c r="U81" s="2149"/>
      <c r="V81" s="2149"/>
      <c r="W81" s="2149"/>
      <c r="X81" s="2149"/>
      <c r="Y81" s="2149"/>
      <c r="Z81" s="2149"/>
      <c r="AA81" s="2149"/>
      <c r="AB81" s="2149"/>
      <c r="AC81" s="2149"/>
    </row>
    <row r="82" spans="1:29" s="1341" customFormat="1" ht="15.75" thickBot="1">
      <c r="A82" s="689"/>
      <c r="B82" s="680"/>
      <c r="C82" s="694"/>
      <c r="D82" s="673"/>
      <c r="E82" s="673"/>
      <c r="F82" s="673"/>
      <c r="G82" s="673"/>
      <c r="H82" s="673"/>
      <c r="I82" s="673"/>
      <c r="J82" s="673"/>
      <c r="K82" s="673"/>
      <c r="L82" s="673"/>
      <c r="M82" s="674"/>
      <c r="N82" s="2170"/>
      <c r="O82" s="2170"/>
      <c r="P82" s="2172"/>
      <c r="Q82" s="2173"/>
      <c r="R82" s="2174"/>
      <c r="S82" s="2174"/>
      <c r="T82" s="2174"/>
      <c r="U82" s="2174"/>
      <c r="V82" s="2174"/>
      <c r="W82" s="2174"/>
      <c r="X82" s="2174"/>
      <c r="Y82" s="2174"/>
      <c r="Z82" s="2174"/>
      <c r="AA82" s="2174"/>
      <c r="AB82" s="2174"/>
      <c r="AC82" s="2174"/>
    </row>
    <row r="83" spans="1:29" ht="15" thickTop="1">
      <c r="A83" s="737"/>
      <c r="B83" s="675" t="s">
        <v>752</v>
      </c>
      <c r="C83" s="690"/>
      <c r="D83" s="690"/>
      <c r="E83" s="720"/>
      <c r="F83" s="720"/>
      <c r="G83" s="720"/>
      <c r="H83" s="720"/>
      <c r="I83" s="720"/>
      <c r="J83" s="720"/>
      <c r="K83" s="721"/>
      <c r="L83" s="722"/>
      <c r="M83" s="723"/>
      <c r="N83" s="2168"/>
      <c r="O83" s="2168"/>
      <c r="P83" s="2169"/>
      <c r="Q83" s="2162"/>
      <c r="R83" s="2149"/>
      <c r="S83" s="2149"/>
      <c r="T83" s="2149"/>
      <c r="U83" s="2149"/>
      <c r="V83" s="2149"/>
      <c r="W83" s="2149"/>
      <c r="X83" s="2149"/>
      <c r="Y83" s="2149"/>
      <c r="Z83" s="2149"/>
      <c r="AA83" s="2149"/>
      <c r="AB83" s="2149"/>
      <c r="AC83" s="2149"/>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7"/>
      <c r="B85" s="675" t="s">
        <v>817</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8"/>
      <c r="O85" s="2168"/>
      <c r="P85" s="2169"/>
      <c r="Q85" s="2162"/>
      <c r="R85" s="2149"/>
      <c r="S85" s="2149"/>
      <c r="T85" s="2149"/>
      <c r="U85" s="2149"/>
      <c r="V85" s="2149"/>
      <c r="W85" s="2149"/>
      <c r="X85" s="2149"/>
      <c r="Y85" s="2149"/>
      <c r="Z85" s="2149"/>
      <c r="AA85" s="2149"/>
      <c r="AB85" s="2149"/>
      <c r="AC85" s="2149"/>
    </row>
    <row r="86" spans="1:29">
      <c r="A86" s="737"/>
      <c r="B86" s="683"/>
      <c r="C86" s="896">
        <v>0.5</v>
      </c>
      <c r="D86" s="896">
        <v>0.6</v>
      </c>
      <c r="E86" s="896">
        <v>0.7</v>
      </c>
      <c r="F86" s="896">
        <v>0.8</v>
      </c>
      <c r="G86" s="896">
        <v>0.9</v>
      </c>
      <c r="H86" s="896">
        <v>1.0001</v>
      </c>
      <c r="I86" s="907"/>
      <c r="J86" s="907"/>
      <c r="K86" s="908"/>
      <c r="L86" s="909"/>
      <c r="M86" s="910"/>
      <c r="N86" s="2168"/>
      <c r="O86" s="2168"/>
      <c r="P86" s="2169"/>
      <c r="Q86" s="2162"/>
      <c r="R86" s="2149"/>
      <c r="S86" s="2149"/>
      <c r="T86" s="2149"/>
      <c r="U86" s="2149"/>
      <c r="V86" s="2149"/>
      <c r="W86" s="2149"/>
      <c r="X86" s="2149"/>
      <c r="Y86" s="2149"/>
      <c r="Z86" s="2149"/>
      <c r="AA86" s="2149"/>
      <c r="AB86" s="2149"/>
      <c r="AC86" s="2149"/>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7"/>
      <c r="B88" s="683" t="s">
        <v>818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0"/>
      <c r="O89" s="2170"/>
      <c r="P89" s="2169"/>
      <c r="Q89" s="2162"/>
      <c r="R89" s="2149"/>
      <c r="S89" s="2149"/>
      <c r="T89" s="2149"/>
      <c r="U89" s="2149"/>
      <c r="V89" s="2149"/>
      <c r="W89" s="2149"/>
      <c r="X89" s="2149"/>
      <c r="Y89" s="2149"/>
      <c r="Z89" s="2149"/>
      <c r="AA89" s="2149"/>
      <c r="AB89" s="2149"/>
      <c r="AC89" s="2149"/>
    </row>
    <row r="90" spans="1:29" s="1341" customFormat="1" ht="15" thickTop="1">
      <c r="A90" s="730"/>
      <c r="B90" s="675" t="s">
        <v>819</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1"/>
      <c r="O90" s="2171"/>
      <c r="P90" s="2172"/>
      <c r="Q90" s="2173"/>
      <c r="R90" s="2174"/>
      <c r="S90" s="2174"/>
      <c r="T90" s="2174"/>
      <c r="U90" s="2174"/>
      <c r="V90" s="2174"/>
      <c r="W90" s="2174"/>
      <c r="X90" s="2174"/>
      <c r="Y90" s="2174"/>
      <c r="Z90" s="2174"/>
      <c r="AA90" s="2174"/>
      <c r="AB90" s="2174"/>
      <c r="AC90" s="2174"/>
    </row>
    <row r="91" spans="1:29" s="1341" customFormat="1">
      <c r="A91" s="730"/>
      <c r="B91" s="683"/>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1"/>
      <c r="O92" s="2171"/>
      <c r="P92" s="2172"/>
      <c r="Q92" s="2173"/>
      <c r="R92" s="2174"/>
      <c r="S92" s="2174"/>
      <c r="T92" s="2174"/>
      <c r="U92" s="2174"/>
      <c r="V92" s="2174"/>
      <c r="W92" s="2174"/>
      <c r="X92" s="2174"/>
      <c r="Y92" s="2174"/>
      <c r="Z92" s="2174"/>
      <c r="AA92" s="2174"/>
      <c r="AB92" s="2174"/>
      <c r="AC92" s="2174"/>
    </row>
    <row r="93" spans="1:29" ht="15" thickTop="1">
      <c r="A93" s="737"/>
      <c r="B93" s="675" t="s">
        <v>820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821</v>
      </c>
      <c r="C95" s="600"/>
      <c r="D95" s="600"/>
      <c r="E95" s="600"/>
      <c r="F95" s="600"/>
      <c r="G95" s="600"/>
      <c r="H95" s="600"/>
      <c r="I95" s="600"/>
      <c r="J95" s="600"/>
      <c r="K95" s="668"/>
      <c r="L95" s="669"/>
      <c r="M95" s="670"/>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0"/>
      <c r="O96" s="2170"/>
      <c r="P96" s="2169"/>
      <c r="Q96" s="2162"/>
      <c r="R96" s="2149"/>
      <c r="S96" s="2149"/>
      <c r="T96" s="2149"/>
      <c r="U96" s="2149"/>
      <c r="V96" s="2149"/>
      <c r="W96" s="2149"/>
      <c r="X96" s="2149"/>
      <c r="Y96" s="2149"/>
      <c r="Z96" s="2149"/>
      <c r="AA96" s="2149"/>
      <c r="AB96" s="2149"/>
      <c r="AC96" s="2149"/>
    </row>
    <row r="97" spans="1:29" ht="15" thickTop="1">
      <c r="A97" s="737"/>
      <c r="B97" s="919">
        <f>B34</f>
        <v>111</v>
      </c>
      <c r="C97" s="543"/>
      <c r="D97" s="543"/>
      <c r="E97" s="543"/>
      <c r="F97" s="543"/>
      <c r="G97" s="690"/>
      <c r="H97" s="691"/>
      <c r="I97" s="691"/>
      <c r="J97" s="691"/>
      <c r="K97" s="691"/>
      <c r="L97" s="692"/>
      <c r="M97" s="693"/>
      <c r="N97" s="2170"/>
      <c r="O97" s="2170"/>
      <c r="P97" s="2209"/>
      <c r="Q97" s="2210"/>
      <c r="R97" s="2149"/>
      <c r="S97" s="2149"/>
      <c r="T97" s="2149"/>
      <c r="U97" s="2149"/>
      <c r="V97" s="2149"/>
      <c r="W97" s="2149"/>
      <c r="X97" s="2149"/>
      <c r="Y97" s="2149"/>
      <c r="Z97" s="2149"/>
      <c r="AA97" s="2149"/>
      <c r="AB97" s="2149"/>
      <c r="AC97" s="2149"/>
    </row>
    <row r="98" spans="1:29" ht="15.75" thickBot="1">
      <c r="A98" s="671"/>
      <c r="B98" s="680"/>
      <c r="C98" s="694"/>
      <c r="D98" s="673"/>
      <c r="E98" s="673"/>
      <c r="F98" s="673"/>
      <c r="G98" s="694"/>
      <c r="H98" s="695"/>
      <c r="I98" s="695"/>
      <c r="J98" s="695"/>
      <c r="K98" s="695"/>
      <c r="L98" s="695"/>
      <c r="M98" s="696"/>
      <c r="N98" s="2170"/>
      <c r="O98" s="2170"/>
      <c r="P98" s="2169"/>
      <c r="Q98" s="2162"/>
      <c r="R98" s="2149"/>
      <c r="S98" s="2149"/>
      <c r="T98" s="2149"/>
      <c r="U98" s="2149"/>
      <c r="V98" s="2149"/>
      <c r="W98" s="2149"/>
      <c r="X98" s="2149"/>
      <c r="Y98" s="2149"/>
      <c r="Z98" s="2149"/>
      <c r="AA98" s="2149"/>
      <c r="AB98" s="2149"/>
      <c r="AC98" s="2149"/>
    </row>
    <row r="99" spans="1:29" s="1341" customFormat="1" ht="15" thickTop="1">
      <c r="A99" s="730"/>
      <c r="B99" s="675">
        <f>B35</f>
        <v>111</v>
      </c>
      <c r="C99" s="543"/>
      <c r="D99" s="543"/>
      <c r="E99" s="543"/>
      <c r="F99" s="543"/>
      <c r="G99" s="690"/>
      <c r="H99" s="691"/>
      <c r="I99" s="691"/>
      <c r="J99" s="691"/>
      <c r="K99" s="691"/>
      <c r="L99" s="692"/>
      <c r="M99" s="693"/>
      <c r="N99" s="2171"/>
      <c r="O99" s="2171"/>
      <c r="P99" s="2172"/>
      <c r="Q99" s="2173"/>
      <c r="R99" s="2174"/>
      <c r="S99" s="2174"/>
      <c r="T99" s="2174"/>
      <c r="U99" s="2174"/>
      <c r="V99" s="2174"/>
      <c r="W99" s="2174"/>
      <c r="X99" s="2174"/>
      <c r="Y99" s="2174"/>
      <c r="Z99" s="2174"/>
      <c r="AA99" s="2174"/>
      <c r="AB99" s="2174"/>
      <c r="AC99" s="2174"/>
    </row>
    <row r="100" spans="1:29" s="1341" customFormat="1" ht="15.75" thickBot="1">
      <c r="A100" s="689"/>
      <c r="B100" s="672"/>
      <c r="C100" s="694"/>
      <c r="D100" s="673"/>
      <c r="E100" s="673"/>
      <c r="F100" s="673"/>
      <c r="G100" s="694"/>
      <c r="H100" s="695"/>
      <c r="I100" s="695"/>
      <c r="J100" s="695"/>
      <c r="K100" s="695"/>
      <c r="L100" s="695"/>
      <c r="M100" s="696"/>
      <c r="N100" s="2171"/>
      <c r="O100" s="2171"/>
      <c r="P100" s="2172"/>
      <c r="Q100" s="2173"/>
      <c r="R100" s="2174"/>
      <c r="S100" s="2174"/>
      <c r="T100" s="2174"/>
      <c r="U100" s="2174"/>
      <c r="V100" s="2174"/>
      <c r="W100" s="2174"/>
      <c r="X100" s="2174"/>
      <c r="Y100" s="2174"/>
      <c r="Z100" s="2174"/>
      <c r="AA100" s="2174"/>
      <c r="AB100" s="2174"/>
      <c r="AC100" s="2174"/>
    </row>
    <row r="101" spans="1:29" ht="15" thickTop="1">
      <c r="A101" s="737"/>
      <c r="B101" s="675">
        <f>B36</f>
        <v>111</v>
      </c>
      <c r="C101" s="690"/>
      <c r="D101" s="690"/>
      <c r="E101" s="690"/>
      <c r="F101" s="690"/>
      <c r="G101" s="690"/>
      <c r="H101" s="691"/>
      <c r="I101" s="691"/>
      <c r="J101" s="691"/>
      <c r="K101" s="691"/>
      <c r="L101" s="692"/>
      <c r="M101" s="69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94"/>
      <c r="D102" s="694"/>
      <c r="E102" s="694"/>
      <c r="F102" s="694"/>
      <c r="G102" s="694"/>
      <c r="H102" s="695"/>
      <c r="I102" s="695"/>
      <c r="J102" s="695"/>
      <c r="K102" s="695"/>
      <c r="L102" s="695"/>
      <c r="M102" s="696"/>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C37</f>
        <v>#DIV/0!</v>
      </c>
      <c r="C3" s="854" t="s">
        <v>797</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66" t="s">
        <v>799</v>
      </c>
      <c r="D4" s="3367"/>
      <c r="E4" s="3400" t="s">
        <v>800</v>
      </c>
      <c r="F4" s="3401"/>
      <c r="G4" s="3366" t="s">
        <v>801</v>
      </c>
      <c r="H4" s="3367"/>
      <c r="I4" s="3366" t="s">
        <v>802</v>
      </c>
      <c r="J4" s="3367"/>
      <c r="K4" s="516" t="s">
        <v>803</v>
      </c>
      <c r="L4" s="2137"/>
      <c r="M4" s="2138"/>
      <c r="N4" s="2138"/>
      <c r="O4" s="2138"/>
      <c r="P4" s="3368" t="s">
        <v>804</v>
      </c>
      <c r="Q4" s="3369"/>
      <c r="R4" s="3374" t="s">
        <v>800</v>
      </c>
      <c r="S4" s="3375"/>
      <c r="T4" s="3374" t="s">
        <v>801</v>
      </c>
      <c r="U4" s="3375"/>
      <c r="V4" s="3361" t="s">
        <v>802</v>
      </c>
      <c r="W4" s="3361"/>
      <c r="X4" s="1570"/>
      <c r="Y4" s="3374" t="s">
        <v>804</v>
      </c>
      <c r="Z4" s="3375"/>
      <c r="AA4" s="3363" t="s">
        <v>800</v>
      </c>
      <c r="AB4" s="3364" t="s">
        <v>801</v>
      </c>
      <c r="AC4" s="3363" t="s">
        <v>802</v>
      </c>
    </row>
    <row r="5" spans="1:29" ht="15">
      <c r="A5" s="517"/>
      <c r="B5" s="518"/>
      <c r="C5" s="3382" t="s">
        <v>2936</v>
      </c>
      <c r="D5" s="3383"/>
      <c r="E5" s="3402" t="s">
        <v>2937</v>
      </c>
      <c r="F5" s="340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43032</v>
      </c>
      <c r="D7" s="522">
        <v>100</v>
      </c>
      <c r="E7" s="523"/>
      <c r="F7" s="524">
        <f>SUMIF(46:46,YEAR(E7)&amp;"-"&amp;MONTH(E7),47:47)</f>
        <v>0</v>
      </c>
      <c r="G7" s="525"/>
      <c r="H7" s="522">
        <f>SUMIF(46:46,YEAR(G7)&amp;"-"&amp;MONTH(G7),47:47)</f>
        <v>0</v>
      </c>
      <c r="I7" s="525"/>
      <c r="J7" s="522">
        <f>SUMIF(46:46,YEAR(I7)&amp;"-"&amp;MONTH(I7),47:47)</f>
        <v>0</v>
      </c>
      <c r="K7" s="526"/>
      <c r="L7" s="2139"/>
      <c r="M7" s="2140"/>
      <c r="N7" s="2140"/>
      <c r="O7" s="2140"/>
      <c r="P7" s="3391" t="s">
        <v>531</v>
      </c>
      <c r="Q7" s="3393"/>
      <c r="R7" s="1571" t="s">
        <v>8</v>
      </c>
      <c r="S7" s="1572">
        <f t="shared" ref="S7:S14" si="0">F7</f>
        <v>0</v>
      </c>
      <c r="T7" s="1571" t="s">
        <v>8</v>
      </c>
      <c r="U7" s="1572">
        <f t="shared" ref="U7:U14" si="1">H7</f>
        <v>0</v>
      </c>
      <c r="V7" s="1571" t="s">
        <v>8</v>
      </c>
      <c r="W7" s="1572">
        <f t="shared" ref="W7:W14"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SUMIF(49:49,E8,50:50)-SUMIF(49:49,C8,50:50)+100</f>
        <v>0</v>
      </c>
      <c r="G8" s="527"/>
      <c r="H8" s="522">
        <f>SUMIF(49:49,G8,50:50)-SUMIF(49:49,C8,50:50)+100</f>
        <v>0</v>
      </c>
      <c r="I8" s="527"/>
      <c r="J8" s="522">
        <f>SUMIF(49:49,I8,50:50)-SUMIF(49:49,C8,50:50)+100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34" si="3">D8/F8</f>
        <v>#DIV/0!</v>
      </c>
      <c r="AB8" s="1574" t="e">
        <f t="shared" ref="AB8:AB34" si="4">D8/H8</f>
        <v>#DIV/0!</v>
      </c>
      <c r="AC8" s="1574" t="e">
        <f t="shared" ref="AC8:AC34" si="5">D8/J8</f>
        <v>#DIV/0!</v>
      </c>
    </row>
    <row r="9" spans="1:29" s="1222" customFormat="1" ht="15">
      <c r="A9" s="2944"/>
      <c r="B9" s="2951" t="s">
        <v>2762</v>
      </c>
      <c r="C9" s="859"/>
      <c r="D9" s="253">
        <v>100</v>
      </c>
      <c r="E9" s="862"/>
      <c r="F9" s="253">
        <f>SUMIF(51:51,E9,52:52)-SUMIF(51:51,C9,52:52)+100</f>
        <v>100</v>
      </c>
      <c r="G9" s="862"/>
      <c r="H9" s="253">
        <f>SUMIF(51:51,G9,52:52)-SUMIF(51:51,C9,52:52)+100</f>
        <v>100</v>
      </c>
      <c r="I9" s="862"/>
      <c r="J9" s="253">
        <f>SUMIF(51:51,I9,52:52)-SUMIF(51:51,C9,52:52)+100</f>
        <v>100</v>
      </c>
      <c r="K9" s="526"/>
      <c r="L9" s="2139"/>
      <c r="M9" s="2140"/>
      <c r="N9" s="2140"/>
      <c r="O9" s="2141"/>
      <c r="P9" s="3360" t="s">
        <v>536</v>
      </c>
      <c r="Q9" s="1153" t="str">
        <f t="shared" ref="Q9:Q14" si="6">B9</f>
        <v>用途</v>
      </c>
      <c r="R9" s="1571" t="s">
        <v>8</v>
      </c>
      <c r="S9" s="1572">
        <f t="shared" si="0"/>
        <v>100</v>
      </c>
      <c r="T9" s="1571" t="s">
        <v>8</v>
      </c>
      <c r="U9" s="1572">
        <f t="shared" si="1"/>
        <v>100</v>
      </c>
      <c r="V9" s="1571" t="s">
        <v>8</v>
      </c>
      <c r="W9" s="1572">
        <f t="shared" si="2"/>
        <v>100</v>
      </c>
      <c r="X9" s="1573"/>
      <c r="Y9" s="3306"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SUMIF(53:53,E10,54:54)-SUMIF(53:53,C10,54:54)+100</f>
        <v>100</v>
      </c>
      <c r="G10" s="864"/>
      <c r="H10" s="254">
        <f>SUMIF(53:53,G10,54:54)-SUMIF(53:53,C10,54:54)+100</f>
        <v>100</v>
      </c>
      <c r="I10" s="863"/>
      <c r="J10" s="254">
        <f>SUMIF(53:53,I10,54:54)-SUMIF(53:53,C10,54:54)+100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7"/>
      <c r="B11" s="2953">
        <v>111</v>
      </c>
      <c r="C11" s="530"/>
      <c r="D11" s="254">
        <v>100</v>
      </c>
      <c r="E11" s="882"/>
      <c r="F11" s="254">
        <f>SUMIF(55:55,E11,56:56)-SUMIF(55:55,C11,56:56)+100</f>
        <v>100</v>
      </c>
      <c r="G11" s="882"/>
      <c r="H11" s="254">
        <f>SUMIF(55:55,G11,56:56)-SUMIF(55:55,C11,56:56)+100</f>
        <v>100</v>
      </c>
      <c r="I11" s="882"/>
      <c r="J11" s="254">
        <f>SUMIF(55:55,I11,56:56)-SUMIF(55:55,C11,56:56)+100</f>
        <v>100</v>
      </c>
      <c r="K11" s="583"/>
      <c r="L11" s="2144"/>
      <c r="M11" s="2138"/>
      <c r="N11" s="2138"/>
      <c r="O11" s="2145"/>
      <c r="P11" s="3360"/>
      <c r="Q11" s="1153">
        <f t="shared" si="6"/>
        <v>111</v>
      </c>
      <c r="R11" s="1571" t="s">
        <v>8</v>
      </c>
      <c r="S11" s="1572">
        <f t="shared" si="0"/>
        <v>100</v>
      </c>
      <c r="T11" s="1571" t="s">
        <v>8</v>
      </c>
      <c r="U11" s="1572">
        <f t="shared" si="1"/>
        <v>100</v>
      </c>
      <c r="V11" s="1571" t="s">
        <v>8</v>
      </c>
      <c r="W11" s="1572">
        <f t="shared" si="2"/>
        <v>100</v>
      </c>
      <c r="X11" s="1573"/>
      <c r="Y11" s="3306"/>
      <c r="Z11" s="1152">
        <f t="shared" si="7"/>
        <v>111</v>
      </c>
      <c r="AA11" s="1574">
        <f t="shared" si="3"/>
        <v>1</v>
      </c>
      <c r="AB11" s="1574">
        <f t="shared" si="4"/>
        <v>1</v>
      </c>
      <c r="AC11" s="1574">
        <f t="shared" si="5"/>
        <v>1</v>
      </c>
    </row>
    <row r="12" spans="1:29" s="1222" customFormat="1" ht="15">
      <c r="A12" s="2947"/>
      <c r="B12" s="2953">
        <v>111</v>
      </c>
      <c r="C12" s="530"/>
      <c r="D12" s="540">
        <v>100</v>
      </c>
      <c r="E12" s="882"/>
      <c r="F12" s="254">
        <f>SUMIF(57:57,E12,58:58)-SUMIF(57:57,C12,58:58)+100</f>
        <v>100</v>
      </c>
      <c r="G12" s="882"/>
      <c r="H12" s="254">
        <f>SUMIF(57:57,G12,58:58)-SUMIF(57:57,C12,58:58)+100</f>
        <v>100</v>
      </c>
      <c r="I12" s="882"/>
      <c r="J12" s="254">
        <f>SUMIF(57:57,I12,58:58)-SUMIF(57:57,C12,58:58)+100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75" thickBot="1">
      <c r="A13" s="2948"/>
      <c r="B13" s="2954">
        <v>111</v>
      </c>
      <c r="C13" s="541"/>
      <c r="D13" s="542">
        <v>100</v>
      </c>
      <c r="E13" s="882"/>
      <c r="F13" s="254">
        <f>SUMIF(59:59,E13,60:60)-SUMIF(59:59,C13,60:60)+100</f>
        <v>100</v>
      </c>
      <c r="G13" s="882"/>
      <c r="H13" s="542">
        <f>SUMIF(59:59,G13,60:60)-SUMIF(59:59,C13,60:60)+100</f>
        <v>100</v>
      </c>
      <c r="I13" s="882"/>
      <c r="J13" s="542">
        <f>SUMIF(59:59,I13,60:60)-SUMIF(59:59,C13,60:60)+100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85.5">
      <c r="A14" s="2940" t="s">
        <v>2760</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6"/>
      <c r="M14" s="2138"/>
      <c r="N14" s="2138"/>
      <c r="O14" s="2145"/>
      <c r="P14" s="3394" t="s">
        <v>541</v>
      </c>
      <c r="Q14" s="1575" t="str">
        <f t="shared" si="6"/>
        <v>交通便捷度</v>
      </c>
      <c r="R14" s="1576" t="s">
        <v>8</v>
      </c>
      <c r="S14" s="1577">
        <f t="shared" si="0"/>
        <v>100</v>
      </c>
      <c r="T14" s="1576" t="s">
        <v>8</v>
      </c>
      <c r="U14" s="1577">
        <f t="shared" si="1"/>
        <v>100</v>
      </c>
      <c r="V14" s="1576" t="s">
        <v>8</v>
      </c>
      <c r="W14" s="1577">
        <f t="shared" si="2"/>
        <v>100</v>
      </c>
      <c r="X14" s="1570"/>
      <c r="Y14" s="3394"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1"/>
      <c r="L15" s="2146"/>
      <c r="M15" s="2138"/>
      <c r="N15" s="2138"/>
      <c r="O15" s="2145"/>
      <c r="P15" s="3395"/>
      <c r="Q15" s="1575"/>
      <c r="R15" s="1576"/>
      <c r="S15" s="1577"/>
      <c r="T15" s="1576"/>
      <c r="U15" s="1577"/>
      <c r="V15" s="1576"/>
      <c r="W15" s="1577"/>
      <c r="X15" s="1570"/>
      <c r="Y15" s="3395"/>
      <c r="Z15" s="1578"/>
      <c r="AA15" s="1579">
        <v>1</v>
      </c>
      <c r="AB15" s="1579">
        <v>1</v>
      </c>
      <c r="AC15" s="1579">
        <v>1</v>
      </c>
    </row>
    <row r="16" spans="1:29" ht="42.75">
      <c r="A16" s="534"/>
      <c r="B16" s="2631" t="s">
        <v>2550</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6"/>
      <c r="M16" s="2138"/>
      <c r="N16" s="2138"/>
      <c r="O16" s="2145"/>
      <c r="P16" s="3395"/>
      <c r="Q16" s="1575" t="str">
        <f>B16</f>
        <v>公共配套设施</v>
      </c>
      <c r="R16" s="1576" t="s">
        <v>8</v>
      </c>
      <c r="S16" s="1577">
        <f>F16</f>
        <v>100</v>
      </c>
      <c r="T16" s="1576" t="s">
        <v>8</v>
      </c>
      <c r="U16" s="1577">
        <f>H16</f>
        <v>100</v>
      </c>
      <c r="V16" s="1576" t="s">
        <v>8</v>
      </c>
      <c r="W16" s="1577">
        <f>J16</f>
        <v>100</v>
      </c>
      <c r="X16" s="1570"/>
      <c r="Y16" s="3395"/>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1"/>
      <c r="L17" s="2146"/>
      <c r="M17" s="2138"/>
      <c r="N17" s="2138"/>
      <c r="O17" s="2145"/>
      <c r="P17" s="3395"/>
      <c r="Q17" s="1575"/>
      <c r="R17" s="1576"/>
      <c r="S17" s="1577"/>
      <c r="T17" s="1576"/>
      <c r="U17" s="1577"/>
      <c r="V17" s="1576"/>
      <c r="W17" s="1577"/>
      <c r="X17" s="1570"/>
      <c r="Y17" s="3395"/>
      <c r="Z17" s="1578"/>
      <c r="AA17" s="1579">
        <v>1</v>
      </c>
      <c r="AB17" s="1579">
        <v>1</v>
      </c>
      <c r="AC17" s="1579">
        <v>1</v>
      </c>
    </row>
    <row r="18" spans="1:29" ht="28.5">
      <c r="A18" s="534"/>
      <c r="B18" s="2619" t="s">
        <v>2562</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6"/>
      <c r="M18" s="2138"/>
      <c r="N18" s="2138"/>
      <c r="O18" s="2145"/>
      <c r="P18" s="3395"/>
      <c r="Q18" s="2607" t="str">
        <f>B18</f>
        <v>基础设施水平</v>
      </c>
      <c r="R18" s="1576" t="s">
        <v>8</v>
      </c>
      <c r="S18" s="1577">
        <f>F18</f>
        <v>100</v>
      </c>
      <c r="T18" s="1576" t="s">
        <v>8</v>
      </c>
      <c r="U18" s="1577">
        <f>H18</f>
        <v>100</v>
      </c>
      <c r="V18" s="1576" t="s">
        <v>8</v>
      </c>
      <c r="W18" s="1577">
        <f>J18</f>
        <v>100</v>
      </c>
      <c r="X18" s="2609"/>
      <c r="Y18" s="3395"/>
      <c r="Z18" s="2608"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0"/>
      <c r="L19" s="2146"/>
      <c r="M19" s="2138"/>
      <c r="N19" s="2138"/>
      <c r="O19" s="2145"/>
      <c r="P19" s="3395"/>
      <c r="Q19" s="2607"/>
      <c r="R19" s="1576"/>
      <c r="S19" s="1577"/>
      <c r="T19" s="1576"/>
      <c r="U19" s="1577"/>
      <c r="V19" s="1576"/>
      <c r="W19" s="1577"/>
      <c r="X19" s="2609"/>
      <c r="Y19" s="3395"/>
      <c r="Z19" s="2608"/>
      <c r="AA19" s="1579">
        <v>1</v>
      </c>
      <c r="AB19" s="1579">
        <v>1</v>
      </c>
      <c r="AC19" s="1579">
        <v>1</v>
      </c>
    </row>
    <row r="20" spans="1:29" ht="57">
      <c r="A20" s="534"/>
      <c r="B20" s="873" t="s">
        <v>805</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6"/>
      <c r="M20" s="2138"/>
      <c r="N20" s="2138"/>
      <c r="O20" s="2145"/>
      <c r="P20" s="3395"/>
      <c r="Q20" s="1575" t="str">
        <f>B20</f>
        <v>自然及人文环境</v>
      </c>
      <c r="R20" s="1576" t="s">
        <v>8</v>
      </c>
      <c r="S20" s="1577">
        <f>F20</f>
        <v>100</v>
      </c>
      <c r="T20" s="1576" t="s">
        <v>8</v>
      </c>
      <c r="U20" s="1577">
        <f>H20</f>
        <v>100</v>
      </c>
      <c r="V20" s="1576" t="s">
        <v>8</v>
      </c>
      <c r="W20" s="1577">
        <f>J20</f>
        <v>100</v>
      </c>
      <c r="X20" s="1570"/>
      <c r="Y20" s="3395"/>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1"/>
      <c r="L21" s="2146"/>
      <c r="M21" s="2138"/>
      <c r="N21" s="2138"/>
      <c r="O21" s="2145"/>
      <c r="P21" s="3395"/>
      <c r="Q21" s="1575"/>
      <c r="R21" s="1576"/>
      <c r="S21" s="1577"/>
      <c r="T21" s="1576"/>
      <c r="U21" s="1577"/>
      <c r="V21" s="1576"/>
      <c r="W21" s="1577"/>
      <c r="X21" s="1570"/>
      <c r="Y21" s="3395"/>
      <c r="Z21" s="1578"/>
      <c r="AA21" s="1579">
        <v>1</v>
      </c>
      <c r="AB21" s="1579">
        <v>1</v>
      </c>
      <c r="AC21" s="1579">
        <v>1</v>
      </c>
    </row>
    <row r="22" spans="1:29" ht="15">
      <c r="A22" s="534"/>
      <c r="B22" s="873" t="s">
        <v>806</v>
      </c>
      <c r="C22" s="585"/>
      <c r="D22" s="561">
        <v>100</v>
      </c>
      <c r="E22" s="585"/>
      <c r="F22" s="577">
        <f>SUMIF(69:69,E22,70:70)-SUMIF(69:69,C22,70:70)+100</f>
        <v>100</v>
      </c>
      <c r="G22" s="585"/>
      <c r="H22" s="542">
        <f>SUMIF(69:69,G22,70:70)-SUMIF(69:69,C22,70:70)+100</f>
        <v>100</v>
      </c>
      <c r="I22" s="585"/>
      <c r="J22" s="542">
        <f>SUMIF(69:69,I22,70:70)-SUMIF(69:69,C22,70:70)+100</f>
        <v>100</v>
      </c>
      <c r="K22" s="586"/>
      <c r="L22" s="2146"/>
      <c r="M22" s="2138"/>
      <c r="N22" s="2138"/>
      <c r="O22" s="2145"/>
      <c r="P22" s="3395"/>
      <c r="Q22" s="1575" t="str">
        <f>B22</f>
        <v>楼层</v>
      </c>
      <c r="R22" s="1576" t="s">
        <v>8</v>
      </c>
      <c r="S22" s="1577">
        <f>F22</f>
        <v>100</v>
      </c>
      <c r="T22" s="1576" t="s">
        <v>8</v>
      </c>
      <c r="U22" s="1577">
        <f>H22</f>
        <v>100</v>
      </c>
      <c r="V22" s="1576" t="s">
        <v>8</v>
      </c>
      <c r="W22" s="1577">
        <f>J22</f>
        <v>100</v>
      </c>
      <c r="X22" s="1570"/>
      <c r="Y22" s="3395"/>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6"/>
      <c r="M23" s="2138"/>
      <c r="N23" s="2138"/>
      <c r="O23" s="2145"/>
      <c r="P23" s="3395"/>
      <c r="Q23" s="1575">
        <f>B23</f>
        <v>111</v>
      </c>
      <c r="R23" s="1576" t="s">
        <v>8</v>
      </c>
      <c r="S23" s="1577">
        <f>F23</f>
        <v>100</v>
      </c>
      <c r="T23" s="1576" t="s">
        <v>8</v>
      </c>
      <c r="U23" s="1577">
        <f>H23</f>
        <v>100</v>
      </c>
      <c r="V23" s="1576" t="s">
        <v>8</v>
      </c>
      <c r="W23" s="1577">
        <f>J23</f>
        <v>100</v>
      </c>
      <c r="X23" s="1570"/>
      <c r="Y23" s="3395"/>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6"/>
      <c r="M24" s="2138"/>
      <c r="N24" s="2138"/>
      <c r="O24" s="2145"/>
      <c r="P24" s="3395"/>
      <c r="Q24" s="1575">
        <f t="shared" ref="Q24:Q34" si="11">B24</f>
        <v>111</v>
      </c>
      <c r="R24" s="1576" t="s">
        <v>8</v>
      </c>
      <c r="S24" s="1577">
        <f>F24</f>
        <v>100</v>
      </c>
      <c r="T24" s="1576" t="s">
        <v>8</v>
      </c>
      <c r="U24" s="1577">
        <f>H24</f>
        <v>100</v>
      </c>
      <c r="V24" s="1576" t="s">
        <v>8</v>
      </c>
      <c r="W24" s="1577">
        <f>J24</f>
        <v>100</v>
      </c>
      <c r="X24" s="1570"/>
      <c r="Y24" s="3395"/>
      <c r="Z24" s="1578">
        <f>Q24</f>
        <v>111</v>
      </c>
      <c r="AA24" s="1579">
        <f t="shared" si="3"/>
        <v>1</v>
      </c>
      <c r="AB24" s="1579">
        <f t="shared" si="4"/>
        <v>1</v>
      </c>
      <c r="AC24" s="1579">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9"/>
      <c r="M25" s="2140"/>
      <c r="N25" s="2140"/>
      <c r="O25" s="2141"/>
      <c r="P25" s="3395"/>
      <c r="Q25" s="1153">
        <f t="shared" si="11"/>
        <v>111</v>
      </c>
      <c r="R25" s="1571" t="s">
        <v>8</v>
      </c>
      <c r="S25" s="1572">
        <f>F25</f>
        <v>100</v>
      </c>
      <c r="T25" s="1571" t="s">
        <v>8</v>
      </c>
      <c r="U25" s="1572">
        <f>H25</f>
        <v>100</v>
      </c>
      <c r="V25" s="1571" t="s">
        <v>8</v>
      </c>
      <c r="W25" s="1572">
        <f>J25</f>
        <v>100</v>
      </c>
      <c r="X25" s="1573"/>
      <c r="Y25" s="3395"/>
      <c r="Z25" s="1152">
        <f>Q25</f>
        <v>111</v>
      </c>
      <c r="AA25" s="1579">
        <f>D25/F25</f>
        <v>1</v>
      </c>
      <c r="AB25" s="1579">
        <f>D25/H25</f>
        <v>1</v>
      </c>
      <c r="AC25" s="1579">
        <f>D25/J25</f>
        <v>1</v>
      </c>
    </row>
    <row r="26" spans="1:29" ht="15">
      <c r="A26" s="2937" t="s">
        <v>2761</v>
      </c>
      <c r="B26" s="172" t="s">
        <v>809</v>
      </c>
      <c r="C26" s="918"/>
      <c r="D26" s="599">
        <v>100</v>
      </c>
      <c r="E26" s="918"/>
      <c r="F26" s="945">
        <f>SUMIF(77:77,E26,78:78)-SUMIF(77:77,C26,78:78)+100</f>
        <v>100</v>
      </c>
      <c r="G26" s="918"/>
      <c r="H26" s="599">
        <f>SUMIF(77:77,G26,78:78)-SUMIF(77:77,C26,78:78)+100</f>
        <v>100</v>
      </c>
      <c r="I26" s="918"/>
      <c r="J26" s="599">
        <f>SUMIF(77:77,I26,78:78)-SUMIF(77:77,C26,78:78)+100</f>
        <v>100</v>
      </c>
      <c r="K26" s="586"/>
      <c r="L26" s="2146"/>
      <c r="M26" s="2138"/>
      <c r="N26" s="2138"/>
      <c r="O26" s="2145"/>
      <c r="P26" s="3396" t="s">
        <v>822</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97" t="s">
        <v>822</v>
      </c>
      <c r="Z26" s="1578" t="str">
        <f t="shared" ref="Z26:Z34" si="15">Q26</f>
        <v>公共部分装修</v>
      </c>
      <c r="AA26" s="1579">
        <f t="shared" si="3"/>
        <v>1</v>
      </c>
      <c r="AB26" s="1579">
        <f t="shared" si="4"/>
        <v>1</v>
      </c>
      <c r="AC26" s="1579">
        <f t="shared" si="5"/>
        <v>1</v>
      </c>
    </row>
    <row r="27" spans="1:29" s="1341" customFormat="1" ht="15">
      <c r="A27" s="605"/>
      <c r="B27" s="529" t="s">
        <v>810</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4"/>
      <c r="M27" s="2175"/>
      <c r="N27" s="2175"/>
      <c r="O27" s="2147"/>
      <c r="P27" s="3397"/>
      <c r="Q27" s="1608" t="str">
        <f t="shared" si="11"/>
        <v>成新率</v>
      </c>
      <c r="R27" s="1580" t="s">
        <v>8</v>
      </c>
      <c r="S27" s="1581" t="e">
        <f t="shared" si="12"/>
        <v>#N/A</v>
      </c>
      <c r="T27" s="1580" t="s">
        <v>8</v>
      </c>
      <c r="U27" s="1581" t="e">
        <f t="shared" si="13"/>
        <v>#N/A</v>
      </c>
      <c r="V27" s="1580" t="s">
        <v>8</v>
      </c>
      <c r="W27" s="1581" t="e">
        <f t="shared" si="14"/>
        <v>#N/A</v>
      </c>
      <c r="X27" s="1582"/>
      <c r="Y27" s="3397"/>
      <c r="Z27" s="1583" t="str">
        <f t="shared" si="15"/>
        <v>成新率</v>
      </c>
      <c r="AA27" s="1579" t="e">
        <f t="shared" si="3"/>
        <v>#N/A</v>
      </c>
      <c r="AB27" s="1579" t="e">
        <f t="shared" si="4"/>
        <v>#N/A</v>
      </c>
      <c r="AC27" s="1579" t="e">
        <f t="shared" si="5"/>
        <v>#N/A</v>
      </c>
    </row>
    <row r="28" spans="1:29" ht="15">
      <c r="A28" s="596"/>
      <c r="B28" s="529" t="s">
        <v>811</v>
      </c>
      <c r="C28" s="576"/>
      <c r="D28" s="542">
        <v>100</v>
      </c>
      <c r="E28" s="576"/>
      <c r="F28" s="577">
        <f>SUMIF(82:82,E28,83:83)-SUMIF(82:82,C28,83:83)+100</f>
        <v>100</v>
      </c>
      <c r="G28" s="576"/>
      <c r="H28" s="542">
        <f>SUMIF(82:82,G28,83:83)-SUMIF(82:82,C28,83:83)+100</f>
        <v>100</v>
      </c>
      <c r="I28" s="576"/>
      <c r="J28" s="542">
        <f>SUMIF(82:82,I28,83:83)-SUMIF(82:82,C28,83:83)+100</f>
        <v>100</v>
      </c>
      <c r="K28" s="586"/>
      <c r="L28" s="2146"/>
      <c r="M28" s="2138"/>
      <c r="N28" s="2138"/>
      <c r="O28" s="2145"/>
      <c r="P28" s="3397"/>
      <c r="Q28" s="1575" t="str">
        <f t="shared" si="11"/>
        <v>物业等级</v>
      </c>
      <c r="R28" s="1576" t="s">
        <v>8</v>
      </c>
      <c r="S28" s="1577">
        <f t="shared" si="12"/>
        <v>100</v>
      </c>
      <c r="T28" s="1576" t="s">
        <v>8</v>
      </c>
      <c r="U28" s="1577">
        <f t="shared" si="13"/>
        <v>100</v>
      </c>
      <c r="V28" s="1576" t="s">
        <v>8</v>
      </c>
      <c r="W28" s="1577">
        <f t="shared" si="14"/>
        <v>100</v>
      </c>
      <c r="X28" s="1570"/>
      <c r="Y28" s="3397"/>
      <c r="Z28" s="1578" t="str">
        <f t="shared" si="15"/>
        <v>物业等级</v>
      </c>
      <c r="AA28" s="1579">
        <f t="shared" si="3"/>
        <v>1</v>
      </c>
      <c r="AB28" s="1579">
        <f t="shared" si="4"/>
        <v>1</v>
      </c>
      <c r="AC28" s="1579">
        <f t="shared" si="5"/>
        <v>1</v>
      </c>
    </row>
    <row r="29" spans="1:29" ht="15">
      <c r="A29" s="596"/>
      <c r="B29" s="529" t="s">
        <v>823</v>
      </c>
      <c r="C29" s="934"/>
      <c r="D29" s="542">
        <v>100</v>
      </c>
      <c r="E29" s="934"/>
      <c r="F29" s="577">
        <f>SUMIF(84:84,E29,85:85)-SUMIF(84:84,C29,85:85)+100</f>
        <v>100</v>
      </c>
      <c r="G29" s="934"/>
      <c r="H29" s="542">
        <f>SUMIF(84:84,G29,85:85)-SUMIF(84:84,C29,85:85)+100</f>
        <v>100</v>
      </c>
      <c r="I29" s="934"/>
      <c r="J29" s="542">
        <f>SUMIF(84:84,I29,85:85)-SUMIF(84:84,C29,85:85)+100</f>
        <v>100</v>
      </c>
      <c r="K29" s="586"/>
      <c r="L29" s="2146"/>
      <c r="M29" s="2138"/>
      <c r="N29" s="2138"/>
      <c r="O29" s="2145"/>
      <c r="P29" s="3397"/>
      <c r="Q29" s="1575" t="str">
        <f t="shared" si="11"/>
        <v>有无电梯</v>
      </c>
      <c r="R29" s="1576" t="s">
        <v>8</v>
      </c>
      <c r="S29" s="1577">
        <f t="shared" si="12"/>
        <v>100</v>
      </c>
      <c r="T29" s="1576" t="s">
        <v>8</v>
      </c>
      <c r="U29" s="1577">
        <f t="shared" si="13"/>
        <v>100</v>
      </c>
      <c r="V29" s="1576" t="s">
        <v>8</v>
      </c>
      <c r="W29" s="1577">
        <f t="shared" si="14"/>
        <v>100</v>
      </c>
      <c r="X29" s="1570"/>
      <c r="Y29" s="3397"/>
      <c r="Z29" s="1578" t="str">
        <f t="shared" si="15"/>
        <v>有无电梯</v>
      </c>
      <c r="AA29" s="1579">
        <f t="shared" si="3"/>
        <v>1</v>
      </c>
      <c r="AB29" s="1579">
        <f t="shared" si="4"/>
        <v>1</v>
      </c>
      <c r="AC29" s="1579">
        <f t="shared" si="5"/>
        <v>1</v>
      </c>
    </row>
    <row r="30" spans="1:29" ht="15">
      <c r="A30" s="596"/>
      <c r="B30" s="529" t="s">
        <v>824</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6"/>
      <c r="M30" s="2138"/>
      <c r="N30" s="2138"/>
      <c r="O30" s="2145"/>
      <c r="P30" s="3397"/>
      <c r="Q30" s="1575" t="str">
        <f t="shared" si="11"/>
        <v>建筑面积</v>
      </c>
      <c r="R30" s="1576" t="s">
        <v>8</v>
      </c>
      <c r="S30" s="1577" t="e">
        <f t="shared" si="12"/>
        <v>#N/A</v>
      </c>
      <c r="T30" s="1576" t="s">
        <v>8</v>
      </c>
      <c r="U30" s="1577" t="e">
        <f t="shared" si="13"/>
        <v>#N/A</v>
      </c>
      <c r="V30" s="1576" t="s">
        <v>8</v>
      </c>
      <c r="W30" s="1577" t="e">
        <f t="shared" si="14"/>
        <v>#N/A</v>
      </c>
      <c r="X30" s="1570"/>
      <c r="Y30" s="3397"/>
      <c r="Z30" s="1578" t="str">
        <f t="shared" si="15"/>
        <v>建筑面积</v>
      </c>
      <c r="AA30" s="1579" t="e">
        <f t="shared" si="3"/>
        <v>#N/A</v>
      </c>
      <c r="AB30" s="1579" t="e">
        <f t="shared" si="4"/>
        <v>#N/A</v>
      </c>
      <c r="AC30" s="1579" t="e">
        <f t="shared" si="5"/>
        <v>#N/A</v>
      </c>
    </row>
    <row r="31" spans="1:29" s="1222" customFormat="1" ht="15">
      <c r="A31" s="602"/>
      <c r="B31" s="529" t="s">
        <v>825</v>
      </c>
      <c r="C31" s="934"/>
      <c r="D31" s="254">
        <v>100</v>
      </c>
      <c r="E31" s="934"/>
      <c r="F31" s="577">
        <f>SUMIF(89:89,E31,90:90)-SUMIF(89:89,C31,90:90)+100</f>
        <v>100</v>
      </c>
      <c r="G31" s="934"/>
      <c r="H31" s="542">
        <f>SUMIF(89:89,G31,90:90)-SUMIF(89:89,C31,90:90)+100</f>
        <v>100</v>
      </c>
      <c r="I31" s="934"/>
      <c r="J31" s="542">
        <f>SUMIF(89:89,I31,90:90)-SUMIF(89:89,C31,90:90)+100</f>
        <v>100</v>
      </c>
      <c r="K31" s="586"/>
      <c r="L31" s="2139"/>
      <c r="M31" s="2140"/>
      <c r="N31" s="2140"/>
      <c r="O31" s="2141"/>
      <c r="P31" s="3397"/>
      <c r="Q31" s="1153" t="str">
        <f t="shared" si="11"/>
        <v>是否封闭</v>
      </c>
      <c r="R31" s="1571" t="s">
        <v>8</v>
      </c>
      <c r="S31" s="1572">
        <f t="shared" si="12"/>
        <v>100</v>
      </c>
      <c r="T31" s="1571" t="s">
        <v>8</v>
      </c>
      <c r="U31" s="1572">
        <f t="shared" si="13"/>
        <v>100</v>
      </c>
      <c r="V31" s="1571" t="s">
        <v>8</v>
      </c>
      <c r="W31" s="1572">
        <f t="shared" si="14"/>
        <v>100</v>
      </c>
      <c r="X31" s="1573"/>
      <c r="Y31" s="3397"/>
      <c r="Z31" s="1152" t="str">
        <f t="shared" si="15"/>
        <v>是否封闭</v>
      </c>
      <c r="AA31" s="1574">
        <f t="shared" si="3"/>
        <v>1</v>
      </c>
      <c r="AB31" s="1574">
        <f t="shared" si="4"/>
        <v>1</v>
      </c>
      <c r="AC31" s="1574">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6"/>
      <c r="M32" s="2138"/>
      <c r="N32" s="2138"/>
      <c r="O32" s="2145"/>
      <c r="P32" s="3397" t="s">
        <v>551</v>
      </c>
      <c r="Q32" s="1575">
        <f t="shared" si="11"/>
        <v>111</v>
      </c>
      <c r="R32" s="1576" t="s">
        <v>8</v>
      </c>
      <c r="S32" s="1577">
        <f t="shared" si="12"/>
        <v>100</v>
      </c>
      <c r="T32" s="1576" t="s">
        <v>8</v>
      </c>
      <c r="U32" s="1577">
        <f t="shared" si="13"/>
        <v>100</v>
      </c>
      <c r="V32" s="1576" t="s">
        <v>8</v>
      </c>
      <c r="W32" s="1577">
        <f t="shared" si="14"/>
        <v>100</v>
      </c>
      <c r="X32" s="1570"/>
      <c r="Y32" s="3397" t="s">
        <v>551</v>
      </c>
      <c r="Z32" s="1578">
        <f t="shared" si="15"/>
        <v>111</v>
      </c>
      <c r="AA32" s="1579">
        <f t="shared" si="3"/>
        <v>1</v>
      </c>
      <c r="AB32" s="1579">
        <f t="shared" si="4"/>
        <v>1</v>
      </c>
      <c r="AC32" s="1579">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6"/>
      <c r="M33" s="2138"/>
      <c r="N33" s="2138"/>
      <c r="O33" s="2145"/>
      <c r="P33" s="3397"/>
      <c r="Q33" s="1575">
        <f t="shared" si="11"/>
        <v>111</v>
      </c>
      <c r="R33" s="1576" t="s">
        <v>8</v>
      </c>
      <c r="S33" s="1577">
        <f t="shared" si="12"/>
        <v>100</v>
      </c>
      <c r="T33" s="1576" t="s">
        <v>8</v>
      </c>
      <c r="U33" s="1577">
        <f t="shared" si="13"/>
        <v>100</v>
      </c>
      <c r="V33" s="1576" t="s">
        <v>8</v>
      </c>
      <c r="W33" s="1577">
        <f t="shared" si="14"/>
        <v>100</v>
      </c>
      <c r="X33" s="1570"/>
      <c r="Y33" s="3397"/>
      <c r="Z33" s="1578">
        <f t="shared" si="15"/>
        <v>111</v>
      </c>
      <c r="AA33" s="1579">
        <f t="shared" si="3"/>
        <v>1</v>
      </c>
      <c r="AB33" s="1579">
        <f t="shared" si="4"/>
        <v>1</v>
      </c>
      <c r="AC33" s="1579">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6"/>
      <c r="M34" s="2138"/>
      <c r="N34" s="2138"/>
      <c r="O34" s="2145"/>
      <c r="P34" s="3397"/>
      <c r="Q34" s="1575">
        <f t="shared" si="11"/>
        <v>111</v>
      </c>
      <c r="R34" s="1576" t="s">
        <v>8</v>
      </c>
      <c r="S34" s="1577">
        <f t="shared" si="12"/>
        <v>100</v>
      </c>
      <c r="T34" s="1576" t="s">
        <v>8</v>
      </c>
      <c r="U34" s="1577">
        <f t="shared" si="13"/>
        <v>100</v>
      </c>
      <c r="V34" s="1576" t="s">
        <v>8</v>
      </c>
      <c r="W34" s="1577">
        <f t="shared" si="14"/>
        <v>100</v>
      </c>
      <c r="X34" s="1570"/>
      <c r="Y34" s="3397"/>
      <c r="Z34" s="1578">
        <f t="shared" si="15"/>
        <v>111</v>
      </c>
      <c r="AA34" s="1579">
        <f t="shared" si="3"/>
        <v>1</v>
      </c>
      <c r="AB34" s="1579">
        <f t="shared" si="4"/>
        <v>1</v>
      </c>
      <c r="AC34" s="1579">
        <f t="shared" si="5"/>
        <v>1</v>
      </c>
    </row>
    <row r="35" spans="1:29" ht="15">
      <c r="A35" s="609" t="s">
        <v>737</v>
      </c>
      <c r="B35" s="889"/>
      <c r="C35" s="2655" t="s">
        <v>1</v>
      </c>
      <c r="D35" s="2656"/>
      <c r="E35" s="2657"/>
      <c r="F35" s="2658"/>
      <c r="G35" s="2659"/>
      <c r="H35" s="2660"/>
      <c r="I35" s="2657"/>
      <c r="J35" s="2660"/>
      <c r="K35" s="1614"/>
      <c r="L35" s="2148"/>
      <c r="M35" s="2149"/>
      <c r="N35" s="2138"/>
      <c r="O35" s="2149"/>
      <c r="P35" s="3360" t="str">
        <f>A35</f>
        <v>成交单价（元/平方米）</v>
      </c>
      <c r="Q35" s="3360"/>
      <c r="R35" s="3473">
        <f>E35</f>
        <v>0</v>
      </c>
      <c r="S35" s="3473"/>
      <c r="T35" s="3473">
        <f>G35</f>
        <v>0</v>
      </c>
      <c r="U35" s="3473"/>
      <c r="V35" s="3473">
        <f>I35</f>
        <v>0</v>
      </c>
      <c r="W35" s="3473"/>
      <c r="X35" s="1562"/>
      <c r="Y35" s="1584"/>
      <c r="Z35" s="1562"/>
      <c r="AA35" s="1562"/>
      <c r="AB35" s="1562"/>
      <c r="AC35" s="1562"/>
    </row>
    <row r="36" spans="1:29" ht="15.75" thickBot="1">
      <c r="A36" s="617" t="s">
        <v>2766</v>
      </c>
      <c r="B36" s="890"/>
      <c r="C36" s="2661" t="e">
        <f>R37</f>
        <v>#DIV/0!</v>
      </c>
      <c r="D36" s="2662"/>
      <c r="E36" s="2663" t="e">
        <f>R36</f>
        <v>#DIV/0!</v>
      </c>
      <c r="F36" s="2663"/>
      <c r="G36" s="2661" t="e">
        <f>T36</f>
        <v>#DIV/0!</v>
      </c>
      <c r="H36" s="2662"/>
      <c r="I36" s="2663" t="e">
        <f>V36</f>
        <v>#DIV/0!</v>
      </c>
      <c r="J36" s="2662"/>
      <c r="K36" s="1615"/>
      <c r="L36" s="2148"/>
      <c r="M36" s="2149"/>
      <c r="N36" s="2138"/>
      <c r="O36" s="2149"/>
      <c r="P36" s="3360" t="str">
        <f>A36</f>
        <v>比较价格（元/平方米）</v>
      </c>
      <c r="Q36" s="3360"/>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62"/>
      <c r="Y36" s="1562"/>
      <c r="Z36" s="1562"/>
      <c r="AA36" s="1562"/>
      <c r="AB36" s="1562"/>
      <c r="AC36" s="1562"/>
    </row>
    <row r="37" spans="1:29" ht="15.75" thickBot="1">
      <c r="A37" s="623" t="s">
        <v>2942</v>
      </c>
      <c r="B37" s="624"/>
      <c r="C37" s="2664" t="e">
        <f>R37</f>
        <v>#DIV/0!</v>
      </c>
      <c r="D37" s="2664"/>
      <c r="E37" s="2664"/>
      <c r="F37" s="2664"/>
      <c r="G37" s="2664"/>
      <c r="H37" s="2664"/>
      <c r="I37" s="2664"/>
      <c r="J37" s="2664"/>
      <c r="K37" s="1616"/>
      <c r="L37" s="2148"/>
      <c r="M37" s="2149"/>
      <c r="N37" s="2149"/>
      <c r="O37" s="2149"/>
      <c r="P37" s="3357" t="str">
        <f>A37</f>
        <v>估价对象XX用房的比较价格（楼面单价，元/平方米）</v>
      </c>
      <c r="Q37" s="3358"/>
      <c r="R37" s="3472" t="e">
        <f>IF(F1="售价",ROUND(AVERAGE(R36:V36),0),ROUND(AVERAGE(R36:V36),1))</f>
        <v>#DIV/0!</v>
      </c>
      <c r="S37" s="3472"/>
      <c r="T37" s="3472"/>
      <c r="U37" s="3472"/>
      <c r="V37" s="3472"/>
      <c r="W37" s="3472"/>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7" customFormat="1" ht="13.5" customHeight="1">
      <c r="A42" s="2150"/>
      <c r="B42" s="2150"/>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7"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49" customFormat="1" ht="15">
      <c r="A46" s="647" t="s">
        <v>530</v>
      </c>
      <c r="B46" s="648"/>
      <c r="C46" s="2832" t="str">
        <f>YEAR(C7)&amp;"-"&amp;MONTH(C7)</f>
        <v>2017-10</v>
      </c>
      <c r="D46" s="2834">
        <f>EDATE(C46,-1)</f>
        <v>42979</v>
      </c>
      <c r="E46" s="2834">
        <f t="shared" ref="E46:O46" si="16">EDATE(D46,-1)</f>
        <v>42948</v>
      </c>
      <c r="F46" s="2834">
        <f t="shared" si="16"/>
        <v>42917</v>
      </c>
      <c r="G46" s="2834">
        <f t="shared" si="16"/>
        <v>42887</v>
      </c>
      <c r="H46" s="2834">
        <f t="shared" si="16"/>
        <v>42856</v>
      </c>
      <c r="I46" s="2834">
        <f t="shared" si="16"/>
        <v>42826</v>
      </c>
      <c r="J46" s="2834">
        <f t="shared" si="16"/>
        <v>42795</v>
      </c>
      <c r="K46" s="2834">
        <f t="shared" si="16"/>
        <v>42767</v>
      </c>
      <c r="L46" s="2834">
        <f t="shared" si="16"/>
        <v>42736</v>
      </c>
      <c r="M46" s="2834">
        <f t="shared" si="16"/>
        <v>42705</v>
      </c>
      <c r="N46" s="2834">
        <f t="shared" si="16"/>
        <v>42675</v>
      </c>
      <c r="O46" s="2834">
        <f t="shared" si="16"/>
        <v>42644</v>
      </c>
      <c r="P46" s="2164"/>
      <c r="Q46" s="2165"/>
      <c r="R46" s="2165"/>
      <c r="S46" s="2165"/>
      <c r="T46" s="2165"/>
      <c r="U46" s="2165"/>
      <c r="V46" s="2165"/>
      <c r="W46" s="2165"/>
      <c r="X46" s="2165"/>
      <c r="Y46" s="2165"/>
      <c r="Z46" s="2165"/>
      <c r="AA46" s="2165"/>
      <c r="AB46" s="2165"/>
      <c r="AC46" s="2165"/>
    </row>
    <row r="47" spans="1:29" s="1222" customFormat="1" ht="15">
      <c r="A47" s="649"/>
      <c r="B47" s="650"/>
      <c r="C47" s="651">
        <v>100</v>
      </c>
      <c r="D47" s="652"/>
      <c r="E47" s="652"/>
      <c r="F47" s="652"/>
      <c r="G47" s="652"/>
      <c r="H47" s="652"/>
      <c r="I47" s="652"/>
      <c r="J47" s="652"/>
      <c r="K47" s="652"/>
      <c r="L47" s="652"/>
      <c r="M47" s="653"/>
      <c r="N47" s="652"/>
      <c r="O47" s="654"/>
      <c r="P47" s="2162"/>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2"/>
      <c r="Q48" s="2162"/>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66"/>
      <c r="O49" s="2166"/>
      <c r="P49" s="2167"/>
      <c r="Q49" s="2162"/>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66"/>
      <c r="O50" s="2166"/>
      <c r="P50" s="2162"/>
      <c r="Q50" s="2162"/>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68"/>
      <c r="O51" s="2168"/>
      <c r="P51" s="2169"/>
      <c r="Q51" s="2162"/>
      <c r="R51" s="2149"/>
      <c r="S51" s="2149"/>
      <c r="T51" s="2149"/>
      <c r="U51" s="2149"/>
      <c r="V51" s="2149"/>
      <c r="W51" s="2149"/>
      <c r="X51" s="2149"/>
      <c r="Y51" s="2149"/>
      <c r="Z51" s="2149"/>
      <c r="AA51" s="2149"/>
      <c r="AB51" s="2149"/>
      <c r="AC51" s="2149"/>
    </row>
    <row r="52" spans="1:29" ht="15.75" thickBot="1">
      <c r="A52" s="671"/>
      <c r="B52" s="672"/>
      <c r="C52" s="673">
        <v>100</v>
      </c>
      <c r="D52" s="673"/>
      <c r="E52" s="673"/>
      <c r="F52" s="673"/>
      <c r="G52" s="673"/>
      <c r="H52" s="673"/>
      <c r="I52" s="673"/>
      <c r="J52" s="673"/>
      <c r="K52" s="673"/>
      <c r="L52" s="673"/>
      <c r="M52" s="674"/>
      <c r="N52" s="2170"/>
      <c r="O52" s="2170"/>
      <c r="P52" s="2169"/>
      <c r="Q52" s="2162"/>
      <c r="R52" s="2149"/>
      <c r="S52" s="2149"/>
      <c r="T52" s="2149"/>
      <c r="U52" s="2149"/>
      <c r="V52" s="2149"/>
      <c r="W52" s="2149"/>
      <c r="X52" s="2149"/>
      <c r="Y52" s="2149"/>
      <c r="Z52" s="2149"/>
      <c r="AA52" s="2149"/>
      <c r="AB52" s="2149"/>
      <c r="AC52" s="2149"/>
    </row>
    <row r="53" spans="1:29" ht="27.75" thickTop="1">
      <c r="A53" s="671"/>
      <c r="B53" s="675" t="s">
        <v>538</v>
      </c>
      <c r="C53" s="676" t="s">
        <v>738</v>
      </c>
      <c r="D53" s="676" t="s">
        <v>739</v>
      </c>
      <c r="E53" s="676" t="s">
        <v>740</v>
      </c>
      <c r="F53" s="676" t="s">
        <v>741</v>
      </c>
      <c r="G53" s="676" t="s">
        <v>742</v>
      </c>
      <c r="H53" s="676" t="s">
        <v>743</v>
      </c>
      <c r="I53" s="676" t="s">
        <v>744</v>
      </c>
      <c r="J53" s="676"/>
      <c r="K53" s="677"/>
      <c r="L53" s="678"/>
      <c r="M53" s="679"/>
      <c r="N53" s="2168"/>
      <c r="O53" s="2168"/>
      <c r="P53" s="2169"/>
      <c r="Q53" s="2162"/>
      <c r="R53" s="2149"/>
      <c r="S53" s="2149"/>
      <c r="T53" s="2149"/>
      <c r="U53" s="2149"/>
      <c r="V53" s="2149"/>
      <c r="W53" s="2149"/>
      <c r="X53" s="2149"/>
      <c r="Y53" s="2149"/>
      <c r="Z53" s="2149"/>
      <c r="AA53" s="2149"/>
      <c r="AB53" s="2149"/>
      <c r="AC53" s="2149"/>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0"/>
      <c r="O54" s="2170"/>
      <c r="P54" s="2169"/>
      <c r="Q54" s="2162"/>
      <c r="R54" s="2149"/>
      <c r="S54" s="2149"/>
      <c r="T54" s="2149"/>
      <c r="U54" s="2149"/>
      <c r="V54" s="2149"/>
      <c r="W54" s="2149"/>
      <c r="X54" s="2149"/>
      <c r="Y54" s="2149"/>
      <c r="Z54" s="2149"/>
      <c r="AA54" s="2149"/>
      <c r="AB54" s="2149"/>
      <c r="AC54" s="2149"/>
    </row>
    <row r="55" spans="1:29" ht="15.75" thickTop="1">
      <c r="A55" s="671"/>
      <c r="B55" s="937">
        <f>B11</f>
        <v>111</v>
      </c>
      <c r="C55" s="543"/>
      <c r="D55" s="543"/>
      <c r="E55" s="543"/>
      <c r="F55" s="543"/>
      <c r="G55" s="543"/>
      <c r="H55" s="543"/>
      <c r="I55" s="543"/>
      <c r="J55" s="543"/>
      <c r="K55" s="686"/>
      <c r="L55" s="687"/>
      <c r="M55" s="688"/>
      <c r="N55" s="2168"/>
      <c r="O55" s="2168"/>
      <c r="P55" s="2169"/>
      <c r="Q55" s="2162"/>
      <c r="R55" s="2149"/>
      <c r="S55" s="2149"/>
      <c r="T55" s="2149"/>
      <c r="U55" s="2149"/>
      <c r="V55" s="2149"/>
      <c r="W55" s="2149"/>
      <c r="X55" s="2149"/>
      <c r="Y55" s="2149"/>
      <c r="Z55" s="2149"/>
      <c r="AA55" s="2149"/>
      <c r="AB55" s="2149"/>
      <c r="AC55" s="2149"/>
    </row>
    <row r="56" spans="1:29" ht="15.75" thickBot="1">
      <c r="A56" s="671"/>
      <c r="B56" s="672"/>
      <c r="C56" s="694"/>
      <c r="D56" s="673"/>
      <c r="E56" s="673"/>
      <c r="F56" s="673"/>
      <c r="G56" s="673"/>
      <c r="H56" s="673"/>
      <c r="I56" s="673"/>
      <c r="J56" s="673"/>
      <c r="K56" s="673"/>
      <c r="L56" s="673"/>
      <c r="M56" s="674"/>
      <c r="N56" s="2170"/>
      <c r="O56" s="2170"/>
      <c r="P56" s="2169"/>
      <c r="Q56" s="2162"/>
      <c r="R56" s="2149"/>
      <c r="S56" s="2149"/>
      <c r="T56" s="2149"/>
      <c r="U56" s="2149"/>
      <c r="V56" s="2149"/>
      <c r="W56" s="2149"/>
      <c r="X56" s="2149"/>
      <c r="Y56" s="2149"/>
      <c r="Z56" s="2149"/>
      <c r="AA56" s="2149"/>
      <c r="AB56" s="2149"/>
      <c r="AC56" s="2149"/>
    </row>
    <row r="57" spans="1:29" s="1341" customFormat="1" ht="15.75" thickTop="1">
      <c r="A57" s="689"/>
      <c r="B57" s="675">
        <f>B12</f>
        <v>111</v>
      </c>
      <c r="C57" s="543"/>
      <c r="D57" s="543"/>
      <c r="E57" s="543"/>
      <c r="F57" s="543"/>
      <c r="G57" s="690"/>
      <c r="H57" s="691"/>
      <c r="I57" s="691"/>
      <c r="J57" s="691"/>
      <c r="K57" s="691"/>
      <c r="L57" s="692"/>
      <c r="M57" s="693"/>
      <c r="N57" s="2171"/>
      <c r="O57" s="2171"/>
      <c r="P57" s="2172"/>
      <c r="Q57" s="2173"/>
      <c r="R57" s="2174"/>
      <c r="S57" s="2174"/>
      <c r="T57" s="2174"/>
      <c r="U57" s="2174"/>
      <c r="V57" s="2174"/>
      <c r="W57" s="2174"/>
      <c r="X57" s="2174"/>
      <c r="Y57" s="2174"/>
      <c r="Z57" s="2174"/>
      <c r="AA57" s="2174"/>
      <c r="AB57" s="2174"/>
      <c r="AC57" s="2174"/>
    </row>
    <row r="58" spans="1:29" s="1341" customFormat="1" ht="15.75" thickBot="1">
      <c r="A58" s="689"/>
      <c r="B58" s="680"/>
      <c r="C58" s="694"/>
      <c r="D58" s="673"/>
      <c r="E58" s="673"/>
      <c r="F58" s="673"/>
      <c r="G58" s="673"/>
      <c r="H58" s="673"/>
      <c r="I58" s="673"/>
      <c r="J58" s="673"/>
      <c r="K58" s="673"/>
      <c r="L58" s="673"/>
      <c r="M58" s="674"/>
      <c r="N58" s="2170"/>
      <c r="O58" s="2170"/>
      <c r="P58" s="2172"/>
      <c r="Q58" s="2173"/>
      <c r="R58" s="2174"/>
      <c r="S58" s="2174"/>
      <c r="T58" s="2174"/>
      <c r="U58" s="2174"/>
      <c r="V58" s="2174"/>
      <c r="W58" s="2174"/>
      <c r="X58" s="2174"/>
      <c r="Y58" s="2174"/>
      <c r="Z58" s="2174"/>
      <c r="AA58" s="2174"/>
      <c r="AB58" s="2174"/>
      <c r="AC58" s="2174"/>
    </row>
    <row r="59" spans="1:29" s="1341" customFormat="1" ht="15.75" thickTop="1">
      <c r="A59" s="689"/>
      <c r="B59" s="675">
        <f>B13</f>
        <v>111</v>
      </c>
      <c r="C59" s="543"/>
      <c r="D59" s="543"/>
      <c r="E59" s="543"/>
      <c r="F59" s="543"/>
      <c r="G59" s="690"/>
      <c r="H59" s="691"/>
      <c r="I59" s="691"/>
      <c r="J59" s="691"/>
      <c r="K59" s="691"/>
      <c r="L59" s="692"/>
      <c r="M59" s="693"/>
      <c r="N59" s="2171"/>
      <c r="O59" s="2171"/>
      <c r="P59" s="2175"/>
      <c r="Q59" s="2176"/>
      <c r="R59" s="2174"/>
      <c r="S59" s="2174"/>
      <c r="T59" s="2174"/>
      <c r="U59" s="2174"/>
      <c r="V59" s="2174"/>
      <c r="W59" s="2174"/>
      <c r="X59" s="2174"/>
      <c r="Y59" s="2174"/>
      <c r="Z59" s="2174"/>
      <c r="AA59" s="2174"/>
      <c r="AB59" s="2174"/>
      <c r="AC59" s="2174"/>
    </row>
    <row r="60" spans="1:29" s="1341" customFormat="1" ht="15.75" thickBot="1">
      <c r="A60" s="689"/>
      <c r="B60" s="680"/>
      <c r="C60" s="694"/>
      <c r="D60" s="694"/>
      <c r="E60" s="694"/>
      <c r="F60" s="694"/>
      <c r="G60" s="694"/>
      <c r="H60" s="695"/>
      <c r="I60" s="695"/>
      <c r="J60" s="695"/>
      <c r="K60" s="695"/>
      <c r="L60" s="695"/>
      <c r="M60" s="696"/>
      <c r="N60" s="2171"/>
      <c r="O60" s="2171"/>
      <c r="P60" s="2172"/>
      <c r="Q60" s="2173"/>
      <c r="R60" s="2174"/>
      <c r="S60" s="2174"/>
      <c r="T60" s="2174"/>
      <c r="U60" s="2174"/>
      <c r="V60" s="2174"/>
      <c r="W60" s="2174"/>
      <c r="X60" s="2174"/>
      <c r="Y60" s="2174"/>
      <c r="Z60" s="2174"/>
      <c r="AA60" s="2174"/>
      <c r="AB60" s="2174"/>
      <c r="AC60" s="2174"/>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8"/>
      <c r="O61" s="2168"/>
      <c r="P61" s="2178"/>
      <c r="Q61" s="2162"/>
      <c r="R61" s="2149"/>
      <c r="S61" s="2149"/>
      <c r="T61" s="2149"/>
      <c r="U61" s="2149"/>
      <c r="V61" s="2149"/>
      <c r="W61" s="2149"/>
      <c r="X61" s="2149"/>
      <c r="Y61" s="2149"/>
      <c r="Z61" s="2149"/>
      <c r="AA61" s="2149"/>
      <c r="AB61" s="2149"/>
      <c r="AC61" s="2149"/>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0"/>
      <c r="O62" s="2170"/>
      <c r="P62" s="2169"/>
      <c r="Q62" s="2162"/>
      <c r="R62" s="2149"/>
      <c r="S62" s="2149"/>
      <c r="T62" s="2149"/>
      <c r="U62" s="2149"/>
      <c r="V62" s="2149"/>
      <c r="W62" s="2149"/>
      <c r="X62" s="2149"/>
      <c r="Y62" s="2149"/>
      <c r="Z62" s="2149"/>
      <c r="AA62" s="2149"/>
      <c r="AB62" s="2149"/>
      <c r="AC62" s="2149"/>
    </row>
    <row r="63" spans="1:29" ht="15.75" thickTop="1">
      <c r="A63" s="671"/>
      <c r="B63" s="1900" t="s">
        <v>2561</v>
      </c>
      <c r="C63" s="710" t="s">
        <v>580</v>
      </c>
      <c r="D63" s="710" t="s">
        <v>581</v>
      </c>
      <c r="E63" s="710" t="s">
        <v>582</v>
      </c>
      <c r="F63" s="710" t="s">
        <v>583</v>
      </c>
      <c r="G63" s="710" t="s">
        <v>584</v>
      </c>
      <c r="H63" s="676"/>
      <c r="I63" s="676"/>
      <c r="J63" s="676"/>
      <c r="K63" s="677"/>
      <c r="L63" s="678"/>
      <c r="M63" s="679"/>
      <c r="N63" s="2168"/>
      <c r="O63" s="2168"/>
      <c r="P63" s="2169"/>
      <c r="Q63" s="2162"/>
      <c r="R63" s="2149"/>
      <c r="S63" s="2149"/>
      <c r="T63" s="2149"/>
      <c r="U63" s="2149"/>
      <c r="V63" s="2149"/>
      <c r="W63" s="2149"/>
      <c r="X63" s="2149"/>
      <c r="Y63" s="2149"/>
      <c r="Z63" s="2149"/>
      <c r="AA63" s="2149"/>
      <c r="AB63" s="2149"/>
      <c r="AC63" s="2149"/>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2625" t="s">
        <v>2562</v>
      </c>
      <c r="C65" s="2626" t="s">
        <v>2563</v>
      </c>
      <c r="D65" s="2626" t="s">
        <v>2564</v>
      </c>
      <c r="E65" s="2626" t="s">
        <v>2565</v>
      </c>
      <c r="F65" s="2626" t="s">
        <v>2566</v>
      </c>
      <c r="G65" s="2626" t="s">
        <v>2567</v>
      </c>
      <c r="H65" s="676"/>
      <c r="I65" s="676"/>
      <c r="J65" s="676"/>
      <c r="K65" s="676"/>
      <c r="L65" s="676"/>
      <c r="M65" s="2629"/>
      <c r="N65" s="2170"/>
      <c r="O65" s="2170"/>
      <c r="P65" s="2169"/>
      <c r="Q65" s="2162"/>
      <c r="R65" s="2149"/>
      <c r="S65" s="2149"/>
      <c r="T65" s="2149"/>
      <c r="U65" s="2149"/>
      <c r="V65" s="2149"/>
      <c r="W65" s="2149"/>
      <c r="X65" s="2149"/>
      <c r="Y65" s="2149"/>
      <c r="Z65" s="2149"/>
      <c r="AA65" s="2149"/>
      <c r="AB65" s="2149"/>
      <c r="AC65" s="2149"/>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0"/>
      <c r="O66" s="2170"/>
      <c r="P66" s="2169"/>
      <c r="Q66" s="2162"/>
      <c r="R66" s="2149"/>
      <c r="S66" s="2149"/>
      <c r="T66" s="2149"/>
      <c r="U66" s="2149"/>
      <c r="V66" s="2149"/>
      <c r="W66" s="2149"/>
      <c r="X66" s="2149"/>
      <c r="Y66" s="2149"/>
      <c r="Z66" s="2149"/>
      <c r="AA66" s="2149"/>
      <c r="AB66" s="2149"/>
      <c r="AC66" s="2149"/>
    </row>
    <row r="67" spans="1:29" ht="15.75" thickTop="1">
      <c r="A67" s="671"/>
      <c r="B67" s="675" t="s">
        <v>745</v>
      </c>
      <c r="C67" s="710" t="s">
        <v>580</v>
      </c>
      <c r="D67" s="710" t="s">
        <v>581</v>
      </c>
      <c r="E67" s="710" t="s">
        <v>582</v>
      </c>
      <c r="F67" s="710" t="s">
        <v>583</v>
      </c>
      <c r="G67" s="710" t="s">
        <v>584</v>
      </c>
      <c r="H67" s="676"/>
      <c r="I67" s="676"/>
      <c r="J67" s="676"/>
      <c r="K67" s="677"/>
      <c r="L67" s="678"/>
      <c r="M67" s="679"/>
      <c r="N67" s="2168"/>
      <c r="O67" s="2168"/>
      <c r="P67" s="2169"/>
      <c r="Q67" s="2162"/>
      <c r="R67" s="2149"/>
      <c r="S67" s="2149"/>
      <c r="T67" s="2149"/>
      <c r="U67" s="2149"/>
      <c r="V67" s="2149"/>
      <c r="W67" s="2149"/>
      <c r="X67" s="2149"/>
      <c r="Y67" s="2149"/>
      <c r="Z67" s="2149"/>
      <c r="AA67" s="2149"/>
      <c r="AB67" s="2149"/>
      <c r="AC67" s="2149"/>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746</v>
      </c>
      <c r="C69" s="690"/>
      <c r="D69" s="690"/>
      <c r="E69" s="690"/>
      <c r="F69" s="690"/>
      <c r="G69" s="690"/>
      <c r="H69" s="720"/>
      <c r="I69" s="720"/>
      <c r="J69" s="720"/>
      <c r="K69" s="721"/>
      <c r="L69" s="722"/>
      <c r="M69" s="723"/>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C70-$K22</f>
        <v>100</v>
      </c>
      <c r="E70" s="681"/>
      <c r="F70" s="681"/>
      <c r="G70" s="681"/>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s="1222" customFormat="1" ht="15.75" thickTop="1">
      <c r="A71" s="711"/>
      <c r="B71" s="675">
        <f>B23</f>
        <v>111</v>
      </c>
      <c r="C71" s="543"/>
      <c r="D71" s="543"/>
      <c r="E71" s="543"/>
      <c r="F71" s="543"/>
      <c r="G71" s="690"/>
      <c r="H71" s="690"/>
      <c r="I71" s="690"/>
      <c r="J71" s="690"/>
      <c r="K71" s="690"/>
      <c r="L71" s="892"/>
      <c r="M71" s="893"/>
      <c r="N71" s="2166"/>
      <c r="O71" s="2166"/>
      <c r="P71" s="2169"/>
      <c r="Q71" s="2162"/>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0"/>
      <c r="O72" s="2170"/>
      <c r="P72" s="2169"/>
      <c r="Q72" s="2162"/>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1"/>
      <c r="O75" s="2171"/>
      <c r="P75" s="2172"/>
      <c r="Q75" s="2173"/>
      <c r="R75" s="2174"/>
      <c r="S75" s="2174"/>
      <c r="T75" s="2174"/>
      <c r="U75" s="2174"/>
      <c r="V75" s="2174"/>
      <c r="W75" s="2174"/>
      <c r="X75" s="2174"/>
      <c r="Y75" s="2174"/>
      <c r="Z75" s="2174"/>
      <c r="AA75" s="2174"/>
      <c r="AB75" s="2174"/>
      <c r="AC75" s="2174"/>
    </row>
    <row r="76" spans="1:29" s="1341" customFormat="1" ht="15.75" thickBot="1">
      <c r="A76" s="689"/>
      <c r="B76" s="680"/>
      <c r="C76" s="694"/>
      <c r="D76" s="694"/>
      <c r="E76" s="694"/>
      <c r="F76" s="694"/>
      <c r="G76" s="673"/>
      <c r="H76" s="673"/>
      <c r="I76" s="673"/>
      <c r="J76" s="673"/>
      <c r="K76" s="673"/>
      <c r="L76" s="673"/>
      <c r="M76" s="674"/>
      <c r="N76" s="2171"/>
      <c r="O76" s="2171"/>
      <c r="P76" s="2172"/>
      <c r="Q76" s="2173"/>
      <c r="R76" s="2174"/>
      <c r="S76" s="2174"/>
      <c r="T76" s="2174"/>
      <c r="U76" s="2174"/>
      <c r="V76" s="2174"/>
      <c r="W76" s="2174"/>
      <c r="X76" s="2174"/>
      <c r="Y76" s="2174"/>
      <c r="Z76" s="2174"/>
      <c r="AA76" s="2174"/>
      <c r="AB76" s="2174"/>
      <c r="AC76" s="2174"/>
    </row>
    <row r="77" spans="1:29" ht="15" thickTop="1">
      <c r="A77" s="666" t="s">
        <v>552</v>
      </c>
      <c r="B77" s="667" t="s">
        <v>752</v>
      </c>
      <c r="C77" s="690"/>
      <c r="D77" s="69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1"/>
      <c r="B79" s="675" t="s">
        <v>817</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6"/>
      <c r="O79" s="2166"/>
      <c r="P79" s="2169"/>
      <c r="Q79" s="2162"/>
      <c r="R79" s="2149"/>
      <c r="S79" s="2149"/>
      <c r="T79" s="2149"/>
      <c r="U79" s="2149"/>
      <c r="V79" s="2149"/>
      <c r="W79" s="2149"/>
      <c r="X79" s="2149"/>
      <c r="Y79" s="2149"/>
      <c r="Z79" s="2149"/>
      <c r="AA79" s="2149"/>
      <c r="AB79" s="2149"/>
      <c r="AC79" s="2149"/>
    </row>
    <row r="80" spans="1:29" ht="15">
      <c r="A80" s="671"/>
      <c r="B80" s="683"/>
      <c r="C80" s="896">
        <v>0.5</v>
      </c>
      <c r="D80" s="896">
        <v>0.6</v>
      </c>
      <c r="E80" s="896">
        <v>0.7</v>
      </c>
      <c r="F80" s="896">
        <v>0.8</v>
      </c>
      <c r="G80" s="896">
        <v>0.9</v>
      </c>
      <c r="H80" s="896">
        <v>1.0001</v>
      </c>
      <c r="I80" s="937"/>
      <c r="J80" s="937"/>
      <c r="K80" s="947"/>
      <c r="L80" s="948"/>
      <c r="M80" s="949"/>
      <c r="N80" s="2166"/>
      <c r="O80" s="2166"/>
      <c r="P80" s="2169"/>
      <c r="Q80" s="2162"/>
      <c r="R80" s="2149"/>
      <c r="S80" s="2149"/>
      <c r="T80" s="2149"/>
      <c r="U80" s="2149"/>
      <c r="V80" s="2149"/>
      <c r="W80" s="2149"/>
      <c r="X80" s="2149"/>
      <c r="Y80" s="2149"/>
      <c r="Z80" s="2149"/>
      <c r="AA80" s="2149"/>
      <c r="AB80" s="2149"/>
      <c r="AC80" s="2149"/>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7"/>
      <c r="B82" s="683" t="s">
        <v>818</v>
      </c>
      <c r="C82" s="690"/>
      <c r="D82" s="690"/>
      <c r="E82" s="720"/>
      <c r="F82" s="720"/>
      <c r="G82" s="720"/>
      <c r="H82" s="720"/>
      <c r="I82" s="720"/>
      <c r="J82" s="720"/>
      <c r="K82" s="721"/>
      <c r="L82" s="722"/>
      <c r="M82" s="723"/>
      <c r="N82" s="2168"/>
      <c r="O82" s="2168"/>
      <c r="P82" s="2169"/>
      <c r="Q82" s="2162"/>
      <c r="R82" s="2149"/>
      <c r="S82" s="2149"/>
      <c r="T82" s="2149"/>
      <c r="U82" s="2149"/>
      <c r="V82" s="2149"/>
      <c r="W82" s="2149"/>
      <c r="X82" s="2149"/>
      <c r="Y82" s="2149"/>
      <c r="Z82" s="2149"/>
      <c r="AA82" s="2149"/>
      <c r="AB82" s="2149"/>
      <c r="AC82" s="2149"/>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7"/>
      <c r="B84" s="675" t="s">
        <v>826</v>
      </c>
      <c r="C84" s="690"/>
      <c r="D84" s="690"/>
      <c r="E84" s="690"/>
      <c r="F84" s="690"/>
      <c r="G84" s="690"/>
      <c r="H84" s="690"/>
      <c r="I84" s="720"/>
      <c r="J84" s="720"/>
      <c r="K84" s="721"/>
      <c r="L84" s="722"/>
      <c r="M84" s="723"/>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7"/>
      <c r="B86" s="683" t="s">
        <v>827</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8"/>
      <c r="O86" s="2168"/>
      <c r="P86" s="2169"/>
      <c r="Q86" s="2162"/>
      <c r="R86" s="2149"/>
      <c r="S86" s="2149"/>
      <c r="T86" s="2149"/>
      <c r="U86" s="2149"/>
      <c r="V86" s="2149"/>
      <c r="W86" s="2149"/>
      <c r="X86" s="2149"/>
      <c r="Y86" s="2149"/>
      <c r="Z86" s="2149"/>
      <c r="AA86" s="2149"/>
      <c r="AB86" s="2149"/>
      <c r="AC86" s="2149"/>
    </row>
    <row r="87" spans="1:29">
      <c r="A87" s="737"/>
      <c r="B87" s="683"/>
      <c r="C87" s="732"/>
      <c r="D87" s="732"/>
      <c r="E87" s="732"/>
      <c r="F87" s="732"/>
      <c r="G87" s="732"/>
      <c r="H87" s="732"/>
      <c r="I87" s="732"/>
      <c r="J87" s="733"/>
      <c r="K87" s="733"/>
      <c r="L87" s="734"/>
      <c r="M87" s="735"/>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94"/>
      <c r="D88" s="673"/>
      <c r="E88" s="673"/>
      <c r="F88" s="673"/>
      <c r="G88" s="673"/>
      <c r="H88" s="673"/>
      <c r="I88" s="673"/>
      <c r="J88" s="673"/>
      <c r="K88" s="673"/>
      <c r="L88" s="673"/>
      <c r="M88" s="673"/>
      <c r="N88" s="2170"/>
      <c r="O88" s="2170"/>
      <c r="P88" s="2169"/>
      <c r="Q88" s="2162"/>
      <c r="R88" s="2149"/>
      <c r="S88" s="2149"/>
      <c r="T88" s="2149"/>
      <c r="U88" s="2149"/>
      <c r="V88" s="2149"/>
      <c r="W88" s="2149"/>
      <c r="X88" s="2149"/>
      <c r="Y88" s="2149"/>
      <c r="Z88" s="2149"/>
      <c r="AA88" s="2149"/>
      <c r="AB88" s="2149"/>
      <c r="AC88" s="2149"/>
    </row>
    <row r="89" spans="1:29" s="1341" customFormat="1" ht="15" thickTop="1">
      <c r="A89" s="730"/>
      <c r="B89" s="675" t="s">
        <v>828</v>
      </c>
      <c r="C89" s="690"/>
      <c r="D89" s="690"/>
      <c r="E89" s="690"/>
      <c r="F89" s="690"/>
      <c r="G89" s="690"/>
      <c r="H89" s="690"/>
      <c r="I89" s="690"/>
      <c r="J89" s="690"/>
      <c r="K89" s="690"/>
      <c r="L89" s="690"/>
      <c r="M89" s="893"/>
      <c r="N89" s="2171"/>
      <c r="O89" s="2171"/>
      <c r="P89" s="2172"/>
      <c r="Q89" s="2173"/>
      <c r="R89" s="2174"/>
      <c r="S89" s="2174"/>
      <c r="T89" s="2174"/>
      <c r="U89" s="2174"/>
      <c r="V89" s="2174"/>
      <c r="W89" s="2174"/>
      <c r="X89" s="2174"/>
      <c r="Y89" s="2174"/>
      <c r="Z89" s="2174"/>
      <c r="AA89" s="2174"/>
      <c r="AB89" s="2174"/>
      <c r="AC89" s="2174"/>
    </row>
    <row r="90" spans="1:29" s="1341" customFormat="1" ht="15.75" thickBot="1">
      <c r="A90" s="689"/>
      <c r="B90" s="680"/>
      <c r="C90" s="694"/>
      <c r="D90" s="673"/>
      <c r="E90" s="673"/>
      <c r="F90" s="673"/>
      <c r="G90" s="673"/>
      <c r="H90" s="673"/>
      <c r="I90" s="673"/>
      <c r="J90" s="673"/>
      <c r="K90" s="673"/>
      <c r="L90" s="673"/>
      <c r="M90" s="674"/>
      <c r="N90" s="2171"/>
      <c r="O90" s="2171"/>
      <c r="P90" s="2172"/>
      <c r="Q90" s="2173"/>
      <c r="R90" s="2174"/>
      <c r="S90" s="2174"/>
      <c r="T90" s="2174"/>
      <c r="U90" s="2174"/>
      <c r="V90" s="2174"/>
      <c r="W90" s="2174"/>
      <c r="X90" s="2174"/>
      <c r="Y90" s="2174"/>
      <c r="Z90" s="2174"/>
      <c r="AA90" s="2174"/>
      <c r="AB90" s="2174"/>
      <c r="AC90" s="2174"/>
    </row>
    <row r="91" spans="1:29" ht="15" thickTop="1">
      <c r="A91" s="737"/>
      <c r="B91" s="675">
        <f>B32</f>
        <v>111</v>
      </c>
      <c r="C91" s="543"/>
      <c r="D91" s="543"/>
      <c r="E91" s="543"/>
      <c r="F91" s="543"/>
      <c r="G91" s="690"/>
      <c r="H91" s="691"/>
      <c r="I91" s="691"/>
      <c r="J91" s="691"/>
      <c r="K91" s="691"/>
      <c r="L91" s="692"/>
      <c r="M91" s="693"/>
      <c r="N91" s="2168"/>
      <c r="O91" s="2168"/>
      <c r="P91" s="2169"/>
      <c r="Q91" s="2162"/>
      <c r="R91" s="2149"/>
      <c r="S91" s="2149"/>
      <c r="T91" s="2149"/>
      <c r="U91" s="2149"/>
      <c r="V91" s="2149"/>
      <c r="W91" s="2149"/>
      <c r="X91" s="2149"/>
      <c r="Y91" s="2149"/>
      <c r="Z91" s="2149"/>
      <c r="AA91" s="2149"/>
      <c r="AB91" s="2149"/>
      <c r="AC91" s="2149"/>
    </row>
    <row r="92" spans="1:29" ht="15.75" thickBot="1">
      <c r="A92" s="671"/>
      <c r="B92" s="680"/>
      <c r="C92" s="694"/>
      <c r="D92" s="673"/>
      <c r="E92" s="673"/>
      <c r="F92" s="673"/>
      <c r="G92" s="694"/>
      <c r="H92" s="695"/>
      <c r="I92" s="695"/>
      <c r="J92" s="695"/>
      <c r="K92" s="695"/>
      <c r="L92" s="695"/>
      <c r="M92" s="696"/>
      <c r="N92" s="2170"/>
      <c r="O92" s="2170"/>
      <c r="P92" s="2169"/>
      <c r="Q92" s="2162"/>
      <c r="R92" s="2149"/>
      <c r="S92" s="2149"/>
      <c r="T92" s="2149"/>
      <c r="U92" s="2149"/>
      <c r="V92" s="2149"/>
      <c r="W92" s="2149"/>
      <c r="X92" s="2149"/>
      <c r="Y92" s="2149"/>
      <c r="Z92" s="2149"/>
      <c r="AA92" s="2149"/>
      <c r="AB92" s="2149"/>
      <c r="AC92" s="2149"/>
    </row>
    <row r="93" spans="1:29" ht="15" thickTop="1">
      <c r="A93" s="737"/>
      <c r="B93" s="675">
        <f>B33</f>
        <v>111</v>
      </c>
      <c r="C93" s="543"/>
      <c r="D93" s="543"/>
      <c r="E93" s="543"/>
      <c r="F93" s="543"/>
      <c r="G93" s="690"/>
      <c r="H93" s="691"/>
      <c r="I93" s="691"/>
      <c r="J93" s="691"/>
      <c r="K93" s="691"/>
      <c r="L93" s="692"/>
      <c r="M93" s="69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94"/>
      <c r="H94" s="695"/>
      <c r="I94" s="695"/>
      <c r="J94" s="695"/>
      <c r="K94" s="695"/>
      <c r="L94" s="695"/>
      <c r="M94" s="696"/>
      <c r="N94" s="2170"/>
      <c r="O94" s="2170"/>
      <c r="P94" s="2169"/>
      <c r="Q94" s="2162"/>
      <c r="R94" s="2149"/>
      <c r="S94" s="2149"/>
      <c r="T94" s="2149"/>
      <c r="U94" s="2149"/>
      <c r="V94" s="2149"/>
      <c r="W94" s="2149"/>
      <c r="X94" s="2149"/>
      <c r="Y94" s="2149"/>
      <c r="Z94" s="2149"/>
      <c r="AA94" s="2149"/>
      <c r="AB94" s="2149"/>
      <c r="AC94" s="2149"/>
    </row>
    <row r="95" spans="1:29" ht="15" thickTop="1">
      <c r="A95" s="737"/>
      <c r="B95" s="919">
        <f>B34</f>
        <v>111</v>
      </c>
      <c r="C95" s="543"/>
      <c r="D95" s="543"/>
      <c r="E95" s="543"/>
      <c r="F95" s="543"/>
      <c r="G95" s="690"/>
      <c r="H95" s="691"/>
      <c r="I95" s="691"/>
      <c r="J95" s="691"/>
      <c r="K95" s="691"/>
      <c r="L95" s="692"/>
      <c r="M95" s="693"/>
      <c r="N95" s="2170"/>
      <c r="O95" s="2170"/>
      <c r="P95" s="2209"/>
      <c r="Q95" s="2210"/>
      <c r="R95" s="2149"/>
      <c r="S95" s="2149"/>
      <c r="T95" s="2149"/>
      <c r="U95" s="2149"/>
      <c r="V95" s="2149"/>
      <c r="W95" s="2149"/>
      <c r="X95" s="2149"/>
      <c r="Y95" s="2149"/>
      <c r="Z95" s="2149"/>
      <c r="AA95" s="2149"/>
      <c r="AB95" s="2149"/>
      <c r="AC95" s="2149"/>
    </row>
    <row r="96" spans="1:29" ht="15.75" thickBot="1">
      <c r="A96" s="671"/>
      <c r="B96" s="680"/>
      <c r="C96" s="694"/>
      <c r="D96" s="694"/>
      <c r="E96" s="694"/>
      <c r="F96" s="694"/>
      <c r="G96" s="694"/>
      <c r="H96" s="695"/>
      <c r="I96" s="695"/>
      <c r="J96" s="695"/>
      <c r="K96" s="695"/>
      <c r="L96" s="695"/>
      <c r="M96" s="696"/>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9"/>
    <col min="19" max="19" width="9" style="1252"/>
    <col min="20" max="35" width="9" style="256"/>
    <col min="36" max="16384" width="9" style="1252"/>
  </cols>
  <sheetData>
    <row r="1" spans="1:45" s="256" customFormat="1" ht="14.25" customHeight="1" thickBot="1">
      <c r="A1" s="367"/>
      <c r="B1" s="2238" t="s">
        <v>2304</v>
      </c>
      <c r="C1" s="3482" t="s">
        <v>2305</v>
      </c>
      <c r="D1" s="3483"/>
      <c r="E1" s="3483"/>
      <c r="F1" s="3483"/>
      <c r="G1" s="3483"/>
      <c r="H1" s="3483"/>
      <c r="I1" s="3483"/>
      <c r="J1" s="3483"/>
      <c r="K1" s="3483"/>
      <c r="L1" s="3483"/>
      <c r="M1" s="3483"/>
      <c r="N1" s="3483"/>
      <c r="O1" s="3483"/>
      <c r="P1" s="3483"/>
      <c r="Q1" s="3483"/>
      <c r="R1" s="3483"/>
      <c r="S1" s="3484"/>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1" t="s">
        <v>2307</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0" t="str">
        <f>S3&amp;"(含)"&amp;"-"</f>
        <v>(含)-</v>
      </c>
      <c r="T2" s="954"/>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5"/>
      <c r="C3" s="956"/>
      <c r="D3" s="957"/>
      <c r="E3" s="957"/>
      <c r="F3" s="957"/>
      <c r="G3" s="957"/>
      <c r="H3" s="957"/>
      <c r="I3" s="957"/>
      <c r="J3" s="958"/>
      <c r="K3" s="958"/>
      <c r="L3" s="959"/>
      <c r="M3" s="2243"/>
      <c r="N3" s="2244"/>
      <c r="O3" s="957"/>
      <c r="P3" s="957"/>
      <c r="Q3" s="957"/>
      <c r="R3" s="957"/>
      <c r="S3" s="2245"/>
      <c r="T3" s="960"/>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9" t="s">
        <v>2935</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1" t="s">
        <v>2934</v>
      </c>
      <c r="C7" s="1965"/>
      <c r="D7" s="1966"/>
      <c r="E7" s="1966"/>
      <c r="F7" s="1966"/>
      <c r="G7" s="1966"/>
      <c r="H7" s="1966"/>
      <c r="I7" s="1966"/>
      <c r="J7" s="1966"/>
      <c r="K7" s="1966"/>
      <c r="L7" s="1966"/>
      <c r="M7" s="2263"/>
      <c r="N7" s="2264"/>
      <c r="O7" s="2265"/>
      <c r="P7" s="2266"/>
      <c r="Q7" s="2267"/>
      <c r="R7" s="2268"/>
      <c r="S7" s="2269"/>
      <c r="T7" s="961"/>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1" t="s">
        <v>2933</v>
      </c>
      <c r="C9" s="1965"/>
      <c r="D9" s="1966"/>
      <c r="E9" s="1966"/>
      <c r="F9" s="1966"/>
      <c r="G9" s="1966"/>
      <c r="H9" s="1966"/>
      <c r="I9" s="1966"/>
      <c r="J9" s="1966"/>
      <c r="K9" s="1966"/>
      <c r="L9" s="1967"/>
      <c r="M9" s="2263"/>
      <c r="N9" s="2264"/>
      <c r="O9" s="2265"/>
      <c r="P9" s="2266"/>
      <c r="Q9" s="2267"/>
      <c r="R9" s="2268"/>
      <c r="S9" s="2269"/>
      <c r="T9" s="961"/>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0"/>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9" t="s">
        <v>2948</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9" t="s">
        <v>2932</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9" t="s">
        <v>2931</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3"/>
      <c r="B19" s="950"/>
      <c r="C19" s="1994"/>
      <c r="D19" s="1994"/>
      <c r="E19" s="1994"/>
      <c r="F19" s="1994"/>
      <c r="G19" s="1994"/>
      <c r="H19" s="1994"/>
      <c r="I19" s="1994"/>
      <c r="J19" s="1994"/>
      <c r="K19" s="1994"/>
      <c r="L19" s="1994"/>
      <c r="M19" s="1994"/>
      <c r="N19" s="1994"/>
      <c r="O19" s="1994"/>
      <c r="P19" s="1994"/>
      <c r="Q19" s="1994"/>
      <c r="R19" s="2229"/>
      <c r="S19" s="2032"/>
    </row>
    <row r="20" spans="1:45" ht="15.75">
      <c r="A20" s="962" t="s">
        <v>829</v>
      </c>
      <c r="B20" s="777">
        <f>S22</f>
        <v>0</v>
      </c>
      <c r="C20" s="1994"/>
      <c r="D20" s="1994"/>
      <c r="E20" s="1994"/>
      <c r="F20" s="1994"/>
      <c r="G20" s="1994"/>
      <c r="H20" s="1994"/>
      <c r="I20" s="1994"/>
      <c r="J20" s="1994"/>
      <c r="K20" s="1994"/>
      <c r="L20" s="1994"/>
      <c r="M20" s="1994"/>
      <c r="N20" s="1994"/>
      <c r="O20" s="1994"/>
      <c r="P20" s="1994"/>
      <c r="Q20" s="1994"/>
      <c r="R20" s="2229"/>
      <c r="S20" s="2032"/>
    </row>
    <row r="21" spans="1:45" ht="15.75">
      <c r="A21" s="962" t="s">
        <v>830</v>
      </c>
      <c r="B21" s="777" t="e">
        <f>R22</f>
        <v>#DIV/0!</v>
      </c>
      <c r="C21" s="1994"/>
      <c r="D21" s="1994"/>
      <c r="E21" s="1994"/>
      <c r="F21" s="1994"/>
      <c r="G21" s="1994"/>
      <c r="H21" s="1994"/>
      <c r="I21" s="1994"/>
      <c r="J21" s="1994"/>
      <c r="K21" s="1994"/>
      <c r="L21" s="1994"/>
      <c r="M21" s="1994"/>
      <c r="N21" s="1994"/>
      <c r="O21" s="1994"/>
      <c r="P21" s="1994"/>
      <c r="Q21" s="1994"/>
      <c r="R21" s="2229"/>
      <c r="S21" s="2032"/>
    </row>
    <row r="22" spans="1:45">
      <c r="A22" s="801" t="s">
        <v>831</v>
      </c>
      <c r="B22" s="53">
        <f>SUM(B24:B10000)</f>
        <v>0</v>
      </c>
      <c r="C22" s="3479" t="s">
        <v>20</v>
      </c>
      <c r="D22" s="3480"/>
      <c r="E22" s="3480"/>
      <c r="F22" s="3480"/>
      <c r="G22" s="3480"/>
      <c r="H22" s="3480"/>
      <c r="I22" s="3480"/>
      <c r="J22" s="3480"/>
      <c r="K22" s="3480"/>
      <c r="L22" s="3480"/>
      <c r="M22" s="3480"/>
      <c r="N22" s="3480"/>
      <c r="O22" s="3480"/>
      <c r="P22" s="3480"/>
      <c r="Q22" s="3481"/>
      <c r="R22" s="492" t="e">
        <f>ROUND(S22*10000/B22,0)</f>
        <v>#DIV/0!</v>
      </c>
      <c r="S22" s="53">
        <f>SUM(S24:S10000)</f>
        <v>0</v>
      </c>
    </row>
    <row r="23" spans="1:45" s="161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3" t="s">
        <v>835</v>
      </c>
      <c r="S23" s="17" t="s">
        <v>836</v>
      </c>
      <c r="T23" s="18"/>
      <c r="U23" s="18"/>
      <c r="V23" s="18"/>
      <c r="W23" s="18"/>
      <c r="X23" s="18"/>
      <c r="Y23" s="18"/>
      <c r="Z23" s="18"/>
      <c r="AA23" s="18"/>
      <c r="AB23" s="18"/>
      <c r="AC23" s="18"/>
      <c r="AD23" s="18"/>
      <c r="AE23" s="18"/>
      <c r="AF23" s="18"/>
      <c r="AG23" s="18"/>
      <c r="AH23" s="18"/>
      <c r="AI23" s="18"/>
    </row>
    <row r="24" spans="1:45" s="1618"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0"/>
      <c r="S525" s="256"/>
    </row>
    <row r="526" spans="1:19">
      <c r="A526" s="256"/>
      <c r="B526" s="57"/>
      <c r="C526" s="57"/>
      <c r="D526" s="57"/>
      <c r="E526" s="57"/>
      <c r="F526" s="57"/>
      <c r="G526" s="57"/>
      <c r="H526" s="57"/>
      <c r="I526" s="57"/>
      <c r="J526" s="57"/>
      <c r="K526" s="57"/>
      <c r="L526" s="57"/>
      <c r="M526" s="57"/>
      <c r="N526" s="57"/>
      <c r="O526" s="57"/>
      <c r="P526" s="57"/>
      <c r="Q526" s="57"/>
      <c r="R526" s="2230"/>
      <c r="S526" s="256"/>
    </row>
    <row r="527" spans="1:19">
      <c r="A527" s="256"/>
      <c r="B527" s="57"/>
      <c r="C527" s="57"/>
      <c r="D527" s="57"/>
      <c r="E527" s="57"/>
      <c r="F527" s="57"/>
      <c r="G527" s="57"/>
      <c r="H527" s="57"/>
      <c r="I527" s="57"/>
      <c r="J527" s="57"/>
      <c r="K527" s="57"/>
      <c r="L527" s="57"/>
      <c r="M527" s="57"/>
      <c r="N527" s="57"/>
      <c r="O527" s="57"/>
      <c r="P527" s="57"/>
      <c r="Q527" s="57"/>
      <c r="R527" s="2230"/>
      <c r="S527" s="256"/>
    </row>
    <row r="528" spans="1:19">
      <c r="A528" s="256"/>
      <c r="B528" s="57"/>
      <c r="C528" s="57"/>
      <c r="D528" s="57"/>
      <c r="E528" s="57"/>
      <c r="F528" s="57"/>
      <c r="G528" s="57"/>
      <c r="H528" s="57"/>
      <c r="I528" s="57"/>
      <c r="J528" s="57"/>
      <c r="K528" s="57"/>
      <c r="L528" s="57"/>
      <c r="M528" s="57"/>
      <c r="N528" s="57"/>
      <c r="O528" s="57"/>
      <c r="P528" s="57"/>
      <c r="Q528" s="57"/>
      <c r="R528" s="2230"/>
      <c r="S528" s="256"/>
    </row>
    <row r="529" spans="1:19">
      <c r="A529" s="256"/>
      <c r="B529" s="57"/>
      <c r="C529" s="57"/>
      <c r="D529" s="57"/>
      <c r="E529" s="57"/>
      <c r="F529" s="57"/>
      <c r="G529" s="57"/>
      <c r="H529" s="57"/>
      <c r="I529" s="57"/>
      <c r="J529" s="57"/>
      <c r="K529" s="57"/>
      <c r="L529" s="57"/>
      <c r="M529" s="57"/>
      <c r="N529" s="57"/>
      <c r="O529" s="57"/>
      <c r="P529" s="57"/>
      <c r="Q529" s="57"/>
      <c r="R529" s="2230"/>
      <c r="S529" s="256"/>
    </row>
    <row r="530" spans="1:19">
      <c r="A530" s="256"/>
      <c r="B530" s="57"/>
      <c r="C530" s="57"/>
      <c r="D530" s="57"/>
      <c r="E530" s="57"/>
      <c r="F530" s="57"/>
      <c r="G530" s="57"/>
      <c r="H530" s="57"/>
      <c r="I530" s="57"/>
      <c r="J530" s="57"/>
      <c r="K530" s="57"/>
      <c r="L530" s="57"/>
      <c r="M530" s="57"/>
      <c r="N530" s="57"/>
      <c r="O530" s="57"/>
      <c r="P530" s="57"/>
      <c r="Q530" s="57"/>
      <c r="R530" s="2230"/>
      <c r="S530" s="256"/>
    </row>
    <row r="531" spans="1:19">
      <c r="A531" s="256"/>
      <c r="B531" s="57"/>
      <c r="C531" s="57"/>
      <c r="D531" s="57"/>
      <c r="E531" s="57"/>
      <c r="F531" s="57"/>
      <c r="G531" s="57"/>
      <c r="H531" s="57"/>
      <c r="I531" s="57"/>
      <c r="J531" s="57"/>
      <c r="K531" s="57"/>
      <c r="L531" s="57"/>
      <c r="M531" s="57"/>
      <c r="N531" s="57"/>
      <c r="O531" s="57"/>
      <c r="P531" s="57"/>
      <c r="Q531" s="57"/>
      <c r="R531" s="2230"/>
      <c r="S531" s="256"/>
    </row>
    <row r="532" spans="1:19">
      <c r="A532" s="256"/>
      <c r="B532" s="57"/>
      <c r="C532" s="57"/>
      <c r="D532" s="57"/>
      <c r="E532" s="57"/>
      <c r="F532" s="57"/>
      <c r="G532" s="57"/>
      <c r="H532" s="57"/>
      <c r="I532" s="57"/>
      <c r="J532" s="57"/>
      <c r="K532" s="57"/>
      <c r="L532" s="57"/>
      <c r="M532" s="57"/>
      <c r="N532" s="57"/>
      <c r="O532" s="57"/>
      <c r="P532" s="57"/>
      <c r="Q532" s="57"/>
      <c r="R532" s="2230"/>
      <c r="S532" s="256"/>
    </row>
    <row r="533" spans="1:19">
      <c r="A533" s="256"/>
      <c r="B533" s="57"/>
      <c r="C533" s="57"/>
      <c r="D533" s="57"/>
      <c r="E533" s="57"/>
      <c r="F533" s="57"/>
      <c r="G533" s="57"/>
      <c r="H533" s="57"/>
      <c r="I533" s="57"/>
      <c r="J533" s="57"/>
      <c r="K533" s="57"/>
      <c r="L533" s="57"/>
      <c r="M533" s="57"/>
      <c r="N533" s="57"/>
      <c r="O533" s="57"/>
      <c r="P533" s="57"/>
      <c r="Q533" s="57"/>
      <c r="R533" s="2230"/>
      <c r="S533" s="256"/>
    </row>
    <row r="534" spans="1:19">
      <c r="A534" s="256"/>
      <c r="B534" s="57"/>
      <c r="C534" s="57"/>
      <c r="D534" s="57"/>
      <c r="E534" s="57"/>
      <c r="F534" s="57"/>
      <c r="G534" s="57"/>
      <c r="H534" s="57"/>
      <c r="I534" s="57"/>
      <c r="J534" s="57"/>
      <c r="K534" s="57"/>
      <c r="L534" s="57"/>
      <c r="M534" s="57"/>
      <c r="N534" s="57"/>
      <c r="O534" s="57"/>
      <c r="P534" s="57"/>
      <c r="Q534" s="57"/>
      <c r="R534" s="2230"/>
      <c r="S534" s="256"/>
    </row>
    <row r="535" spans="1:19">
      <c r="A535" s="256"/>
      <c r="B535" s="57"/>
      <c r="C535" s="57"/>
      <c r="D535" s="57"/>
      <c r="E535" s="57"/>
      <c r="F535" s="57"/>
      <c r="G535" s="57"/>
      <c r="H535" s="57"/>
      <c r="I535" s="57"/>
      <c r="J535" s="57"/>
      <c r="K535" s="57"/>
      <c r="L535" s="57"/>
      <c r="M535" s="57"/>
      <c r="N535" s="57"/>
      <c r="O535" s="57"/>
      <c r="P535" s="57"/>
      <c r="Q535" s="57"/>
      <c r="R535" s="2230"/>
      <c r="S535" s="256"/>
    </row>
    <row r="536" spans="1:19">
      <c r="A536" s="256"/>
      <c r="B536" s="57"/>
      <c r="C536" s="57"/>
      <c r="D536" s="57"/>
      <c r="E536" s="57"/>
      <c r="F536" s="57"/>
      <c r="G536" s="57"/>
      <c r="H536" s="57"/>
      <c r="I536" s="57"/>
      <c r="J536" s="57"/>
      <c r="K536" s="57"/>
      <c r="L536" s="57"/>
      <c r="M536" s="57"/>
      <c r="N536" s="57"/>
      <c r="O536" s="57"/>
      <c r="P536" s="57"/>
      <c r="Q536" s="57"/>
      <c r="R536" s="2230"/>
      <c r="S536" s="256"/>
    </row>
    <row r="537" spans="1:19">
      <c r="A537" s="256"/>
      <c r="B537" s="57"/>
      <c r="C537" s="57"/>
      <c r="D537" s="57"/>
      <c r="E537" s="57"/>
      <c r="F537" s="57"/>
      <c r="G537" s="57"/>
      <c r="H537" s="57"/>
      <c r="I537" s="57"/>
      <c r="J537" s="57"/>
      <c r="K537" s="57"/>
      <c r="L537" s="57"/>
      <c r="M537" s="57"/>
      <c r="N537" s="57"/>
      <c r="O537" s="57"/>
      <c r="P537" s="57"/>
      <c r="Q537" s="57"/>
      <c r="R537" s="2230"/>
      <c r="S537" s="256"/>
    </row>
    <row r="538" spans="1:19">
      <c r="A538" s="256"/>
      <c r="B538" s="57"/>
      <c r="C538" s="57"/>
      <c r="D538" s="57"/>
      <c r="E538" s="57"/>
      <c r="F538" s="57"/>
      <c r="G538" s="57"/>
      <c r="H538" s="57"/>
      <c r="I538" s="57"/>
      <c r="J538" s="57"/>
      <c r="K538" s="57"/>
      <c r="L538" s="57"/>
      <c r="M538" s="57"/>
      <c r="N538" s="57"/>
      <c r="O538" s="57"/>
      <c r="P538" s="57"/>
      <c r="Q538" s="57"/>
      <c r="R538" s="2230"/>
      <c r="S538" s="256"/>
    </row>
    <row r="539" spans="1:19">
      <c r="A539" s="256"/>
      <c r="B539" s="57"/>
      <c r="C539" s="57"/>
      <c r="D539" s="57"/>
      <c r="E539" s="57"/>
      <c r="F539" s="57"/>
      <c r="G539" s="57"/>
      <c r="H539" s="57"/>
      <c r="I539" s="57"/>
      <c r="J539" s="57"/>
      <c r="K539" s="57"/>
      <c r="L539" s="57"/>
      <c r="M539" s="57"/>
      <c r="N539" s="57"/>
      <c r="O539" s="57"/>
      <c r="P539" s="57"/>
      <c r="Q539" s="57"/>
      <c r="R539" s="2230"/>
      <c r="S539" s="256"/>
    </row>
    <row r="540" spans="1:19">
      <c r="A540" s="256"/>
      <c r="B540" s="57"/>
      <c r="C540" s="57"/>
      <c r="D540" s="57"/>
      <c r="E540" s="57"/>
      <c r="F540" s="57"/>
      <c r="G540" s="57"/>
      <c r="H540" s="57"/>
      <c r="I540" s="57"/>
      <c r="J540" s="57"/>
      <c r="K540" s="57"/>
      <c r="L540" s="57"/>
      <c r="M540" s="57"/>
      <c r="N540" s="57"/>
      <c r="O540" s="57"/>
      <c r="P540" s="57"/>
      <c r="Q540" s="57"/>
      <c r="R540" s="2230"/>
      <c r="S540" s="256"/>
    </row>
    <row r="541" spans="1:19">
      <c r="A541" s="256"/>
      <c r="B541" s="57"/>
      <c r="C541" s="57"/>
      <c r="D541" s="57"/>
      <c r="E541" s="57"/>
      <c r="F541" s="57"/>
      <c r="G541" s="57"/>
      <c r="H541" s="57"/>
      <c r="I541" s="57"/>
      <c r="J541" s="57"/>
      <c r="K541" s="57"/>
      <c r="L541" s="57"/>
      <c r="M541" s="57"/>
      <c r="N541" s="57"/>
      <c r="O541" s="57"/>
      <c r="P541" s="57"/>
      <c r="Q541" s="57"/>
      <c r="R541" s="2230"/>
      <c r="S541" s="256"/>
    </row>
    <row r="542" spans="1:19">
      <c r="A542" s="256"/>
      <c r="B542" s="57"/>
      <c r="C542" s="57"/>
      <c r="D542" s="57"/>
      <c r="E542" s="57"/>
      <c r="F542" s="57"/>
      <c r="G542" s="57"/>
      <c r="H542" s="57"/>
      <c r="I542" s="57"/>
      <c r="J542" s="57"/>
      <c r="K542" s="57"/>
      <c r="L542" s="57"/>
      <c r="M542" s="57"/>
      <c r="N542" s="57"/>
      <c r="O542" s="57"/>
      <c r="P542" s="57"/>
      <c r="Q542" s="57"/>
      <c r="R542" s="2230"/>
      <c r="S542" s="256"/>
    </row>
    <row r="543" spans="1:19">
      <c r="A543" s="256"/>
      <c r="B543" s="57"/>
      <c r="C543" s="57"/>
      <c r="D543" s="57"/>
      <c r="E543" s="57"/>
      <c r="F543" s="57"/>
      <c r="G543" s="57"/>
      <c r="H543" s="57"/>
      <c r="I543" s="57"/>
      <c r="J543" s="57"/>
      <c r="K543" s="57"/>
      <c r="L543" s="57"/>
      <c r="M543" s="57"/>
      <c r="N543" s="57"/>
      <c r="O543" s="57"/>
      <c r="P543" s="57"/>
      <c r="Q543" s="57"/>
      <c r="R543" s="2230"/>
      <c r="S543" s="256"/>
    </row>
    <row r="544" spans="1:19">
      <c r="A544" s="256"/>
      <c r="B544" s="57"/>
      <c r="C544" s="57"/>
      <c r="D544" s="57"/>
      <c r="E544" s="57"/>
      <c r="F544" s="57"/>
      <c r="G544" s="57"/>
      <c r="H544" s="57"/>
      <c r="I544" s="57"/>
      <c r="J544" s="57"/>
      <c r="K544" s="57"/>
      <c r="L544" s="57"/>
      <c r="M544" s="57"/>
      <c r="N544" s="57"/>
      <c r="O544" s="57"/>
      <c r="P544" s="57"/>
      <c r="Q544" s="57"/>
      <c r="R544" s="2230"/>
      <c r="S544" s="256"/>
    </row>
    <row r="545" spans="1:19">
      <c r="A545" s="256"/>
      <c r="B545" s="57"/>
      <c r="C545" s="57"/>
      <c r="D545" s="57"/>
      <c r="E545" s="57"/>
      <c r="F545" s="57"/>
      <c r="G545" s="57"/>
      <c r="H545" s="57"/>
      <c r="I545" s="57"/>
      <c r="J545" s="57"/>
      <c r="K545" s="57"/>
      <c r="L545" s="57"/>
      <c r="M545" s="57"/>
      <c r="N545" s="57"/>
      <c r="O545" s="57"/>
      <c r="P545" s="57"/>
      <c r="Q545" s="57"/>
      <c r="R545" s="2230"/>
      <c r="S545" s="256"/>
    </row>
    <row r="546" spans="1:19">
      <c r="A546" s="256"/>
      <c r="B546" s="57"/>
      <c r="C546" s="57"/>
      <c r="D546" s="57"/>
      <c r="E546" s="57"/>
      <c r="F546" s="57"/>
      <c r="G546" s="57"/>
      <c r="H546" s="57"/>
      <c r="I546" s="57"/>
      <c r="J546" s="57"/>
      <c r="K546" s="57"/>
      <c r="L546" s="57"/>
      <c r="M546" s="57"/>
      <c r="N546" s="57"/>
      <c r="O546" s="57"/>
      <c r="P546" s="57"/>
      <c r="Q546" s="57"/>
      <c r="R546" s="2230"/>
      <c r="S546" s="256"/>
    </row>
    <row r="547" spans="1:19">
      <c r="A547" s="256"/>
      <c r="B547" s="57"/>
      <c r="C547" s="57"/>
      <c r="D547" s="57"/>
      <c r="E547" s="57"/>
      <c r="F547" s="57"/>
      <c r="G547" s="57"/>
      <c r="H547" s="57"/>
      <c r="I547" s="57"/>
      <c r="J547" s="57"/>
      <c r="K547" s="57"/>
      <c r="L547" s="57"/>
      <c r="M547" s="57"/>
      <c r="N547" s="57"/>
      <c r="O547" s="57"/>
      <c r="P547" s="57"/>
      <c r="Q547" s="57"/>
      <c r="R547" s="2230"/>
      <c r="S547" s="256"/>
    </row>
    <row r="548" spans="1:19">
      <c r="A548" s="256"/>
      <c r="B548" s="57"/>
      <c r="C548" s="57"/>
      <c r="D548" s="57"/>
      <c r="E548" s="57"/>
      <c r="F548" s="57"/>
      <c r="G548" s="57"/>
      <c r="H548" s="57"/>
      <c r="I548" s="57"/>
      <c r="J548" s="57"/>
      <c r="K548" s="57"/>
      <c r="L548" s="57"/>
      <c r="M548" s="57"/>
      <c r="N548" s="57"/>
      <c r="O548" s="57"/>
      <c r="P548" s="57"/>
      <c r="Q548" s="57"/>
      <c r="R548" s="2230"/>
      <c r="S548" s="256"/>
    </row>
    <row r="549" spans="1:19">
      <c r="A549" s="256"/>
      <c r="B549" s="57"/>
      <c r="C549" s="57"/>
      <c r="D549" s="57"/>
      <c r="E549" s="57"/>
      <c r="F549" s="57"/>
      <c r="G549" s="57"/>
      <c r="H549" s="57"/>
      <c r="I549" s="57"/>
      <c r="J549" s="57"/>
      <c r="K549" s="57"/>
      <c r="L549" s="57"/>
      <c r="M549" s="57"/>
      <c r="N549" s="57"/>
      <c r="O549" s="57"/>
      <c r="P549" s="57"/>
      <c r="Q549" s="57"/>
      <c r="R549" s="2230"/>
      <c r="S549" s="256"/>
    </row>
    <row r="550" spans="1:19">
      <c r="A550" s="256"/>
      <c r="B550" s="57"/>
      <c r="C550" s="57"/>
      <c r="D550" s="57"/>
      <c r="E550" s="57"/>
      <c r="F550" s="57"/>
      <c r="G550" s="57"/>
      <c r="H550" s="57"/>
      <c r="I550" s="57"/>
      <c r="J550" s="57"/>
      <c r="K550" s="57"/>
      <c r="L550" s="57"/>
      <c r="M550" s="57"/>
      <c r="N550" s="57"/>
      <c r="O550" s="57"/>
      <c r="P550" s="57"/>
      <c r="Q550" s="57"/>
      <c r="R550" s="2230"/>
      <c r="S550" s="256"/>
    </row>
    <row r="551" spans="1:19">
      <c r="A551" s="256"/>
      <c r="B551" s="57"/>
      <c r="C551" s="57"/>
      <c r="D551" s="57"/>
      <c r="E551" s="57"/>
      <c r="F551" s="57"/>
      <c r="G551" s="57"/>
      <c r="H551" s="57"/>
      <c r="I551" s="57"/>
      <c r="J551" s="57"/>
      <c r="K551" s="57"/>
      <c r="L551" s="57"/>
      <c r="M551" s="57"/>
      <c r="N551" s="57"/>
      <c r="O551" s="57"/>
      <c r="P551" s="57"/>
      <c r="Q551" s="57"/>
      <c r="R551" s="2230"/>
      <c r="S551" s="256"/>
    </row>
    <row r="552" spans="1:19">
      <c r="A552" s="256"/>
      <c r="B552" s="57"/>
      <c r="C552" s="57"/>
      <c r="D552" s="57"/>
      <c r="E552" s="57"/>
      <c r="F552" s="57"/>
      <c r="G552" s="57"/>
      <c r="H552" s="57"/>
      <c r="I552" s="57"/>
      <c r="J552" s="57"/>
      <c r="K552" s="57"/>
      <c r="L552" s="57"/>
      <c r="M552" s="57"/>
      <c r="N552" s="57"/>
      <c r="O552" s="57"/>
      <c r="P552" s="57"/>
      <c r="Q552" s="57"/>
      <c r="R552" s="2230"/>
      <c r="S552" s="256"/>
    </row>
    <row r="553" spans="1:19">
      <c r="A553" s="256"/>
      <c r="B553" s="57"/>
      <c r="C553" s="57"/>
      <c r="D553" s="57"/>
      <c r="E553" s="57"/>
      <c r="F553" s="57"/>
      <c r="G553" s="57"/>
      <c r="H553" s="57"/>
      <c r="I553" s="57"/>
      <c r="J553" s="57"/>
      <c r="K553" s="57"/>
      <c r="L553" s="57"/>
      <c r="M553" s="57"/>
      <c r="N553" s="57"/>
      <c r="O553" s="57"/>
      <c r="P553" s="57"/>
      <c r="Q553" s="57"/>
      <c r="R553" s="2230"/>
      <c r="S553" s="256"/>
    </row>
    <row r="554" spans="1:19">
      <c r="A554" s="256"/>
      <c r="B554" s="57"/>
      <c r="C554" s="57"/>
      <c r="D554" s="57"/>
      <c r="E554" s="57"/>
      <c r="F554" s="57"/>
      <c r="G554" s="57"/>
      <c r="H554" s="57"/>
      <c r="I554" s="57"/>
      <c r="J554" s="57"/>
      <c r="K554" s="57"/>
      <c r="L554" s="57"/>
      <c r="M554" s="57"/>
      <c r="N554" s="57"/>
      <c r="O554" s="57"/>
      <c r="P554" s="57"/>
      <c r="Q554" s="57"/>
      <c r="R554" s="2230"/>
      <c r="S554" s="256"/>
    </row>
    <row r="555" spans="1:19">
      <c r="A555" s="256"/>
      <c r="B555" s="57"/>
      <c r="C555" s="57"/>
      <c r="D555" s="57"/>
      <c r="E555" s="57"/>
      <c r="F555" s="57"/>
      <c r="G555" s="57"/>
      <c r="H555" s="57"/>
      <c r="I555" s="57"/>
      <c r="J555" s="57"/>
      <c r="K555" s="57"/>
      <c r="L555" s="57"/>
      <c r="M555" s="57"/>
      <c r="N555" s="57"/>
      <c r="O555" s="57"/>
      <c r="P555" s="57"/>
      <c r="Q555" s="57"/>
      <c r="R555" s="2230"/>
      <c r="S555" s="256"/>
    </row>
    <row r="556" spans="1:19">
      <c r="A556" s="256"/>
      <c r="B556" s="57"/>
      <c r="C556" s="57"/>
      <c r="D556" s="57"/>
      <c r="E556" s="57"/>
      <c r="F556" s="57"/>
      <c r="G556" s="57"/>
      <c r="H556" s="57"/>
      <c r="I556" s="57"/>
      <c r="J556" s="57"/>
      <c r="K556" s="57"/>
      <c r="L556" s="57"/>
      <c r="M556" s="57"/>
      <c r="N556" s="57"/>
      <c r="O556" s="57"/>
      <c r="P556" s="57"/>
      <c r="Q556" s="57"/>
      <c r="R556" s="2230"/>
      <c r="S556" s="256"/>
    </row>
    <row r="557" spans="1:19">
      <c r="A557" s="256"/>
      <c r="B557" s="57"/>
      <c r="C557" s="57"/>
      <c r="D557" s="57"/>
      <c r="E557" s="57"/>
      <c r="F557" s="57"/>
      <c r="G557" s="57"/>
      <c r="H557" s="57"/>
      <c r="I557" s="57"/>
      <c r="J557" s="57"/>
      <c r="K557" s="57"/>
      <c r="L557" s="57"/>
      <c r="M557" s="57"/>
      <c r="N557" s="57"/>
      <c r="O557" s="57"/>
      <c r="P557" s="57"/>
      <c r="Q557" s="57"/>
      <c r="R557" s="2230"/>
      <c r="S557" s="256"/>
    </row>
    <row r="558" spans="1:19">
      <c r="A558" s="256"/>
      <c r="B558" s="57"/>
      <c r="C558" s="57"/>
      <c r="D558" s="57"/>
      <c r="E558" s="57"/>
      <c r="F558" s="57"/>
      <c r="G558" s="57"/>
      <c r="H558" s="57"/>
      <c r="I558" s="57"/>
      <c r="J558" s="57"/>
      <c r="K558" s="57"/>
      <c r="L558" s="57"/>
      <c r="M558" s="57"/>
      <c r="N558" s="57"/>
      <c r="O558" s="57"/>
      <c r="P558" s="57"/>
      <c r="Q558" s="57"/>
      <c r="R558" s="2230"/>
      <c r="S558" s="256"/>
    </row>
    <row r="559" spans="1:19">
      <c r="A559" s="256"/>
      <c r="B559" s="57"/>
      <c r="C559" s="57"/>
      <c r="D559" s="57"/>
      <c r="E559" s="57"/>
      <c r="F559" s="57"/>
      <c r="G559" s="57"/>
      <c r="H559" s="57"/>
      <c r="I559" s="57"/>
      <c r="J559" s="57"/>
      <c r="K559" s="57"/>
      <c r="L559" s="57"/>
      <c r="M559" s="57"/>
      <c r="N559" s="57"/>
      <c r="O559" s="57"/>
      <c r="P559" s="57"/>
      <c r="Q559" s="57"/>
      <c r="R559" s="2230"/>
      <c r="S559" s="256"/>
    </row>
    <row r="560" spans="1:19">
      <c r="A560" s="256"/>
      <c r="B560" s="57"/>
      <c r="C560" s="57"/>
      <c r="D560" s="57"/>
      <c r="E560" s="57"/>
      <c r="F560" s="57"/>
      <c r="G560" s="57"/>
      <c r="H560" s="57"/>
      <c r="I560" s="57"/>
      <c r="J560" s="57"/>
      <c r="K560" s="57"/>
      <c r="L560" s="57"/>
      <c r="M560" s="57"/>
      <c r="N560" s="57"/>
      <c r="O560" s="57"/>
      <c r="P560" s="57"/>
      <c r="Q560" s="57"/>
      <c r="R560" s="2230"/>
      <c r="S560" s="256"/>
    </row>
    <row r="561" spans="1:19">
      <c r="A561" s="256"/>
      <c r="B561" s="57"/>
      <c r="C561" s="57"/>
      <c r="D561" s="57"/>
      <c r="E561" s="57"/>
      <c r="F561" s="57"/>
      <c r="G561" s="57"/>
      <c r="H561" s="57"/>
      <c r="I561" s="57"/>
      <c r="J561" s="57"/>
      <c r="K561" s="57"/>
      <c r="L561" s="57"/>
      <c r="M561" s="57"/>
      <c r="N561" s="57"/>
      <c r="O561" s="57"/>
      <c r="P561" s="57"/>
      <c r="Q561" s="57"/>
      <c r="R561" s="2230"/>
      <c r="S561" s="256"/>
    </row>
    <row r="562" spans="1:19">
      <c r="A562" s="256"/>
      <c r="B562" s="57"/>
      <c r="C562" s="57"/>
      <c r="D562" s="57"/>
      <c r="E562" s="57"/>
      <c r="F562" s="57"/>
      <c r="G562" s="57"/>
      <c r="H562" s="57"/>
      <c r="I562" s="57"/>
      <c r="J562" s="57"/>
      <c r="K562" s="57"/>
      <c r="L562" s="57"/>
      <c r="M562" s="57"/>
      <c r="N562" s="57"/>
      <c r="O562" s="57"/>
      <c r="P562" s="57"/>
      <c r="Q562" s="57"/>
      <c r="R562" s="2230"/>
      <c r="S562" s="256"/>
    </row>
    <row r="563" spans="1:19">
      <c r="A563" s="256"/>
      <c r="B563" s="57"/>
      <c r="C563" s="57"/>
      <c r="D563" s="57"/>
      <c r="E563" s="57"/>
      <c r="F563" s="57"/>
      <c r="G563" s="57"/>
      <c r="H563" s="57"/>
      <c r="I563" s="57"/>
      <c r="J563" s="57"/>
      <c r="K563" s="57"/>
      <c r="L563" s="57"/>
      <c r="M563" s="57"/>
      <c r="N563" s="57"/>
      <c r="O563" s="57"/>
      <c r="P563" s="57"/>
      <c r="Q563" s="57"/>
      <c r="R563" s="2230"/>
      <c r="S563" s="256"/>
    </row>
    <row r="564" spans="1:19">
      <c r="A564" s="256"/>
      <c r="B564" s="57"/>
      <c r="C564" s="57"/>
      <c r="D564" s="57"/>
      <c r="E564" s="57"/>
      <c r="F564" s="57"/>
      <c r="G564" s="57"/>
      <c r="H564" s="57"/>
      <c r="I564" s="57"/>
      <c r="J564" s="57"/>
      <c r="K564" s="57"/>
      <c r="L564" s="57"/>
      <c r="M564" s="57"/>
      <c r="N564" s="57"/>
      <c r="O564" s="57"/>
      <c r="P564" s="57"/>
      <c r="Q564" s="57"/>
      <c r="R564" s="2230"/>
      <c r="S564" s="256"/>
    </row>
    <row r="565" spans="1:19">
      <c r="A565" s="256"/>
      <c r="B565" s="57"/>
      <c r="C565" s="57"/>
      <c r="D565" s="57"/>
      <c r="E565" s="57"/>
      <c r="F565" s="57"/>
      <c r="G565" s="57"/>
      <c r="H565" s="57"/>
      <c r="I565" s="57"/>
      <c r="J565" s="57"/>
      <c r="K565" s="57"/>
      <c r="L565" s="57"/>
      <c r="M565" s="57"/>
      <c r="N565" s="57"/>
      <c r="O565" s="57"/>
      <c r="P565" s="57"/>
      <c r="Q565" s="57"/>
      <c r="R565" s="2230"/>
      <c r="S565" s="256"/>
    </row>
    <row r="566" spans="1:19">
      <c r="A566" s="256"/>
      <c r="B566" s="57"/>
      <c r="C566" s="57"/>
      <c r="D566" s="57"/>
      <c r="E566" s="57"/>
      <c r="F566" s="57"/>
      <c r="G566" s="57"/>
      <c r="H566" s="57"/>
      <c r="I566" s="57"/>
      <c r="J566" s="57"/>
      <c r="K566" s="57"/>
      <c r="L566" s="57"/>
      <c r="M566" s="57"/>
      <c r="N566" s="57"/>
      <c r="O566" s="57"/>
      <c r="P566" s="57"/>
      <c r="Q566" s="57"/>
      <c r="R566" s="2230"/>
      <c r="S566" s="256"/>
    </row>
    <row r="567" spans="1:19">
      <c r="A567" s="256"/>
      <c r="B567" s="57"/>
      <c r="C567" s="57"/>
      <c r="D567" s="57"/>
      <c r="E567" s="57"/>
      <c r="F567" s="57"/>
      <c r="G567" s="57"/>
      <c r="H567" s="57"/>
      <c r="I567" s="57"/>
      <c r="J567" s="57"/>
      <c r="K567" s="57"/>
      <c r="L567" s="57"/>
      <c r="M567" s="57"/>
      <c r="N567" s="57"/>
      <c r="O567" s="57"/>
      <c r="P567" s="57"/>
      <c r="Q567" s="57"/>
      <c r="R567" s="2230"/>
      <c r="S567" s="256"/>
    </row>
    <row r="568" spans="1:19">
      <c r="A568" s="256"/>
      <c r="B568" s="57"/>
      <c r="C568" s="57"/>
      <c r="D568" s="57"/>
      <c r="E568" s="57"/>
      <c r="F568" s="57"/>
      <c r="G568" s="57"/>
      <c r="H568" s="57"/>
      <c r="I568" s="57"/>
      <c r="J568" s="57"/>
      <c r="K568" s="57"/>
      <c r="L568" s="57"/>
      <c r="M568" s="57"/>
      <c r="N568" s="57"/>
      <c r="O568" s="57"/>
      <c r="P568" s="57"/>
      <c r="Q568" s="57"/>
      <c r="R568" s="2230"/>
      <c r="S568" s="256"/>
    </row>
    <row r="569" spans="1:19">
      <c r="A569" s="256"/>
      <c r="B569" s="57"/>
      <c r="C569" s="57"/>
      <c r="D569" s="57"/>
      <c r="E569" s="57"/>
      <c r="F569" s="57"/>
      <c r="G569" s="57"/>
      <c r="H569" s="57"/>
      <c r="I569" s="57"/>
      <c r="J569" s="57"/>
      <c r="K569" s="57"/>
      <c r="L569" s="57"/>
      <c r="M569" s="57"/>
      <c r="N569" s="57"/>
      <c r="O569" s="57"/>
      <c r="P569" s="57"/>
      <c r="Q569" s="57"/>
      <c r="R569" s="2230"/>
      <c r="S569" s="256"/>
    </row>
    <row r="570" spans="1:19">
      <c r="A570" s="256"/>
      <c r="B570" s="57"/>
      <c r="C570" s="57"/>
      <c r="D570" s="57"/>
      <c r="E570" s="57"/>
      <c r="F570" s="57"/>
      <c r="G570" s="57"/>
      <c r="H570" s="57"/>
      <c r="I570" s="57"/>
      <c r="J570" s="57"/>
      <c r="K570" s="57"/>
      <c r="L570" s="57"/>
      <c r="M570" s="57"/>
      <c r="N570" s="57"/>
      <c r="O570" s="57"/>
      <c r="P570" s="57"/>
      <c r="Q570" s="57"/>
      <c r="R570" s="2230"/>
      <c r="S570" s="256"/>
    </row>
    <row r="571" spans="1:19">
      <c r="A571" s="256"/>
      <c r="B571" s="57"/>
      <c r="C571" s="57"/>
      <c r="D571" s="57"/>
      <c r="E571" s="57"/>
      <c r="F571" s="57"/>
      <c r="G571" s="57"/>
      <c r="H571" s="57"/>
      <c r="I571" s="57"/>
      <c r="J571" s="57"/>
      <c r="K571" s="57"/>
      <c r="L571" s="57"/>
      <c r="M571" s="57"/>
      <c r="N571" s="57"/>
      <c r="O571" s="57"/>
      <c r="P571" s="57"/>
      <c r="Q571" s="57"/>
      <c r="R571" s="2230"/>
      <c r="S571" s="256"/>
    </row>
    <row r="572" spans="1:19">
      <c r="A572" s="256"/>
      <c r="B572" s="57"/>
      <c r="C572" s="57"/>
      <c r="D572" s="57"/>
      <c r="E572" s="57"/>
      <c r="F572" s="57"/>
      <c r="G572" s="57"/>
      <c r="H572" s="57"/>
      <c r="I572" s="57"/>
      <c r="J572" s="57"/>
      <c r="K572" s="57"/>
      <c r="L572" s="57"/>
      <c r="M572" s="57"/>
      <c r="N572" s="57"/>
      <c r="O572" s="57"/>
      <c r="P572" s="57"/>
      <c r="Q572" s="57"/>
      <c r="R572" s="2230"/>
      <c r="S572" s="256"/>
    </row>
    <row r="573" spans="1:19">
      <c r="A573" s="256"/>
      <c r="B573" s="57"/>
      <c r="C573" s="57"/>
      <c r="D573" s="57"/>
      <c r="E573" s="57"/>
      <c r="F573" s="57"/>
      <c r="G573" s="57"/>
      <c r="H573" s="57"/>
      <c r="I573" s="57"/>
      <c r="J573" s="57"/>
      <c r="K573" s="57"/>
      <c r="L573" s="57"/>
      <c r="M573" s="57"/>
      <c r="N573" s="57"/>
      <c r="O573" s="57"/>
      <c r="P573" s="57"/>
      <c r="Q573" s="57"/>
      <c r="R573" s="2230"/>
      <c r="S573" s="256"/>
    </row>
    <row r="574" spans="1:19">
      <c r="A574" s="256"/>
      <c r="B574" s="57"/>
      <c r="C574" s="57"/>
      <c r="D574" s="57"/>
      <c r="E574" s="57"/>
      <c r="F574" s="57"/>
      <c r="G574" s="57"/>
      <c r="H574" s="57"/>
      <c r="I574" s="57"/>
      <c r="J574" s="57"/>
      <c r="K574" s="57"/>
      <c r="L574" s="57"/>
      <c r="M574" s="57"/>
      <c r="N574" s="57"/>
      <c r="O574" s="57"/>
      <c r="P574" s="57"/>
      <c r="Q574" s="57"/>
      <c r="R574" s="2230"/>
      <c r="S574" s="256"/>
    </row>
    <row r="575" spans="1:19">
      <c r="A575" s="256"/>
      <c r="B575" s="57"/>
      <c r="C575" s="57"/>
      <c r="D575" s="57"/>
      <c r="E575" s="57"/>
      <c r="F575" s="57"/>
      <c r="G575" s="57"/>
      <c r="H575" s="57"/>
      <c r="I575" s="57"/>
      <c r="J575" s="57"/>
      <c r="K575" s="57"/>
      <c r="L575" s="57"/>
      <c r="M575" s="57"/>
      <c r="N575" s="57"/>
      <c r="O575" s="57"/>
      <c r="P575" s="57"/>
      <c r="Q575" s="57"/>
      <c r="R575" s="2230"/>
      <c r="S575" s="256"/>
    </row>
    <row r="576" spans="1:19">
      <c r="A576" s="256"/>
      <c r="B576" s="57"/>
      <c r="C576" s="57"/>
      <c r="D576" s="57"/>
      <c r="E576" s="57"/>
      <c r="F576" s="57"/>
      <c r="G576" s="57"/>
      <c r="H576" s="57"/>
      <c r="I576" s="57"/>
      <c r="J576" s="57"/>
      <c r="K576" s="57"/>
      <c r="L576" s="57"/>
      <c r="M576" s="57"/>
      <c r="N576" s="57"/>
      <c r="O576" s="57"/>
      <c r="P576" s="57"/>
      <c r="Q576" s="57"/>
      <c r="R576" s="2230"/>
      <c r="S576" s="256"/>
    </row>
    <row r="577" spans="1:19">
      <c r="A577" s="256"/>
      <c r="B577" s="57"/>
      <c r="C577" s="57"/>
      <c r="D577" s="57"/>
      <c r="E577" s="57"/>
      <c r="F577" s="57"/>
      <c r="G577" s="57"/>
      <c r="H577" s="57"/>
      <c r="I577" s="57"/>
      <c r="J577" s="57"/>
      <c r="K577" s="57"/>
      <c r="L577" s="57"/>
      <c r="M577" s="57"/>
      <c r="N577" s="57"/>
      <c r="O577" s="57"/>
      <c r="P577" s="57"/>
      <c r="Q577" s="57"/>
      <c r="R577" s="2230"/>
      <c r="S577" s="256"/>
    </row>
    <row r="578" spans="1:19">
      <c r="A578" s="256"/>
      <c r="B578" s="57"/>
      <c r="C578" s="57"/>
      <c r="D578" s="57"/>
      <c r="E578" s="57"/>
      <c r="F578" s="57"/>
      <c r="G578" s="57"/>
      <c r="H578" s="57"/>
      <c r="I578" s="57"/>
      <c r="J578" s="57"/>
      <c r="K578" s="57"/>
      <c r="L578" s="57"/>
      <c r="M578" s="57"/>
      <c r="N578" s="57"/>
      <c r="O578" s="57"/>
      <c r="P578" s="57"/>
      <c r="Q578" s="57"/>
      <c r="R578" s="2230"/>
      <c r="S578" s="256"/>
    </row>
    <row r="579" spans="1:19">
      <c r="A579" s="256"/>
      <c r="B579" s="57"/>
      <c r="C579" s="57"/>
      <c r="D579" s="57"/>
      <c r="E579" s="57"/>
      <c r="F579" s="57"/>
      <c r="G579" s="57"/>
      <c r="H579" s="57"/>
      <c r="I579" s="57"/>
      <c r="J579" s="57"/>
      <c r="K579" s="57"/>
      <c r="L579" s="57"/>
      <c r="M579" s="57"/>
      <c r="N579" s="57"/>
      <c r="O579" s="57"/>
      <c r="P579" s="57"/>
      <c r="Q579" s="57"/>
      <c r="R579" s="2230"/>
      <c r="S579" s="256"/>
    </row>
    <row r="580" spans="1:19">
      <c r="A580" s="256"/>
      <c r="B580" s="57"/>
      <c r="C580" s="57"/>
      <c r="D580" s="57"/>
      <c r="E580" s="57"/>
      <c r="F580" s="57"/>
      <c r="G580" s="57"/>
      <c r="H580" s="57"/>
      <c r="I580" s="57"/>
      <c r="J580" s="57"/>
      <c r="K580" s="57"/>
      <c r="L580" s="57"/>
      <c r="M580" s="57"/>
      <c r="N580" s="57"/>
      <c r="O580" s="57"/>
      <c r="P580" s="57"/>
      <c r="Q580" s="57"/>
      <c r="R580" s="2230"/>
      <c r="S580" s="256"/>
    </row>
    <row r="581" spans="1:19">
      <c r="A581" s="256"/>
      <c r="B581" s="57"/>
      <c r="C581" s="57"/>
      <c r="D581" s="57"/>
      <c r="E581" s="57"/>
      <c r="F581" s="57"/>
      <c r="G581" s="57"/>
      <c r="H581" s="57"/>
      <c r="I581" s="57"/>
      <c r="J581" s="57"/>
      <c r="K581" s="57"/>
      <c r="L581" s="57"/>
      <c r="M581" s="57"/>
      <c r="N581" s="57"/>
      <c r="O581" s="57"/>
      <c r="P581" s="57"/>
      <c r="Q581" s="57"/>
      <c r="R581" s="2230"/>
      <c r="S581" s="256"/>
    </row>
    <row r="582" spans="1:19">
      <c r="A582" s="256"/>
      <c r="B582" s="57"/>
      <c r="C582" s="57"/>
      <c r="D582" s="57"/>
      <c r="E582" s="57"/>
      <c r="F582" s="57"/>
      <c r="G582" s="57"/>
      <c r="H582" s="57"/>
      <c r="I582" s="57"/>
      <c r="J582" s="57"/>
      <c r="K582" s="57"/>
      <c r="L582" s="57"/>
      <c r="M582" s="57"/>
      <c r="N582" s="57"/>
      <c r="O582" s="57"/>
      <c r="P582" s="57"/>
      <c r="Q582" s="57"/>
      <c r="R582" s="2230"/>
      <c r="S582" s="256"/>
    </row>
    <row r="583" spans="1:19">
      <c r="A583" s="256"/>
      <c r="B583" s="57"/>
      <c r="C583" s="57"/>
      <c r="D583" s="57"/>
      <c r="E583" s="57"/>
      <c r="F583" s="57"/>
      <c r="G583" s="57"/>
      <c r="H583" s="57"/>
      <c r="I583" s="57"/>
      <c r="J583" s="57"/>
      <c r="K583" s="57"/>
      <c r="L583" s="57"/>
      <c r="M583" s="57"/>
      <c r="N583" s="57"/>
      <c r="O583" s="57"/>
      <c r="P583" s="57"/>
      <c r="Q583" s="57"/>
      <c r="R583" s="2230"/>
      <c r="S583" s="256"/>
    </row>
    <row r="584" spans="1:19">
      <c r="A584" s="256"/>
      <c r="B584" s="57"/>
      <c r="C584" s="57"/>
      <c r="D584" s="57"/>
      <c r="E584" s="57"/>
      <c r="F584" s="57"/>
      <c r="G584" s="57"/>
      <c r="H584" s="57"/>
      <c r="I584" s="57"/>
      <c r="J584" s="57"/>
      <c r="K584" s="57"/>
      <c r="L584" s="57"/>
      <c r="M584" s="57"/>
      <c r="N584" s="57"/>
      <c r="O584" s="57"/>
      <c r="P584" s="57"/>
      <c r="Q584" s="57"/>
      <c r="R584" s="2230"/>
      <c r="S584" s="256"/>
    </row>
    <row r="585" spans="1:19">
      <c r="A585" s="256"/>
      <c r="B585" s="57"/>
      <c r="C585" s="57"/>
      <c r="D585" s="57"/>
      <c r="E585" s="57"/>
      <c r="F585" s="57"/>
      <c r="G585" s="57"/>
      <c r="H585" s="57"/>
      <c r="I585" s="57"/>
      <c r="J585" s="57"/>
      <c r="K585" s="57"/>
      <c r="L585" s="57"/>
      <c r="M585" s="57"/>
      <c r="N585" s="57"/>
      <c r="O585" s="57"/>
      <c r="P585" s="57"/>
      <c r="Q585" s="57"/>
      <c r="R585" s="2230"/>
      <c r="S585" s="256"/>
    </row>
    <row r="586" spans="1:19">
      <c r="A586" s="256"/>
      <c r="B586" s="57"/>
      <c r="C586" s="57"/>
      <c r="D586" s="57"/>
      <c r="E586" s="57"/>
      <c r="F586" s="57"/>
      <c r="G586" s="57"/>
      <c r="H586" s="57"/>
      <c r="I586" s="57"/>
      <c r="J586" s="57"/>
      <c r="K586" s="57"/>
      <c r="L586" s="57"/>
      <c r="M586" s="57"/>
      <c r="N586" s="57"/>
      <c r="O586" s="57"/>
      <c r="P586" s="57"/>
      <c r="Q586" s="57"/>
      <c r="R586" s="2230"/>
      <c r="S586" s="256"/>
    </row>
    <row r="587" spans="1:19">
      <c r="A587" s="256"/>
      <c r="B587" s="57"/>
      <c r="C587" s="57"/>
      <c r="D587" s="57"/>
      <c r="E587" s="57"/>
      <c r="F587" s="57"/>
      <c r="G587" s="57"/>
      <c r="H587" s="57"/>
      <c r="I587" s="57"/>
      <c r="J587" s="57"/>
      <c r="K587" s="57"/>
      <c r="L587" s="57"/>
      <c r="M587" s="57"/>
      <c r="N587" s="57"/>
      <c r="O587" s="57"/>
      <c r="P587" s="57"/>
      <c r="Q587" s="57"/>
      <c r="R587" s="2230"/>
      <c r="S587" s="256"/>
    </row>
    <row r="588" spans="1:19">
      <c r="A588" s="256"/>
      <c r="B588" s="57"/>
      <c r="C588" s="57"/>
      <c r="D588" s="57"/>
      <c r="E588" s="57"/>
      <c r="F588" s="57"/>
      <c r="G588" s="57"/>
      <c r="H588" s="57"/>
      <c r="I588" s="57"/>
      <c r="J588" s="57"/>
      <c r="K588" s="57"/>
      <c r="L588" s="57"/>
      <c r="M588" s="57"/>
      <c r="N588" s="57"/>
      <c r="O588" s="57"/>
      <c r="P588" s="57"/>
      <c r="Q588" s="57"/>
      <c r="R588" s="2230"/>
      <c r="S588" s="256"/>
    </row>
    <row r="589" spans="1:19">
      <c r="A589" s="256"/>
      <c r="B589" s="57"/>
      <c r="C589" s="57"/>
      <c r="D589" s="57"/>
      <c r="E589" s="57"/>
      <c r="F589" s="57"/>
      <c r="G589" s="57"/>
      <c r="H589" s="57"/>
      <c r="I589" s="57"/>
      <c r="J589" s="57"/>
      <c r="K589" s="57"/>
      <c r="L589" s="57"/>
      <c r="M589" s="57"/>
      <c r="N589" s="57"/>
      <c r="O589" s="57"/>
      <c r="P589" s="57"/>
      <c r="Q589" s="57"/>
      <c r="R589" s="2230"/>
      <c r="S589" s="256"/>
    </row>
    <row r="590" spans="1:19">
      <c r="A590" s="256"/>
      <c r="B590" s="57"/>
      <c r="C590" s="57"/>
      <c r="D590" s="57"/>
      <c r="E590" s="57"/>
      <c r="F590" s="57"/>
      <c r="G590" s="57"/>
      <c r="H590" s="57"/>
      <c r="I590" s="57"/>
      <c r="J590" s="57"/>
      <c r="K590" s="57"/>
      <c r="L590" s="57"/>
      <c r="M590" s="57"/>
      <c r="N590" s="57"/>
      <c r="O590" s="57"/>
      <c r="P590" s="57"/>
      <c r="Q590" s="57"/>
      <c r="R590" s="2230"/>
      <c r="S590" s="256"/>
    </row>
    <row r="591" spans="1:19">
      <c r="A591" s="256"/>
      <c r="B591" s="57"/>
      <c r="C591" s="57"/>
      <c r="D591" s="57"/>
      <c r="E591" s="57"/>
      <c r="F591" s="57"/>
      <c r="G591" s="57"/>
      <c r="H591" s="57"/>
      <c r="I591" s="57"/>
      <c r="J591" s="57"/>
      <c r="K591" s="57"/>
      <c r="L591" s="57"/>
      <c r="M591" s="57"/>
      <c r="N591" s="57"/>
      <c r="O591" s="57"/>
      <c r="P591" s="57"/>
      <c r="Q591" s="57"/>
      <c r="R591" s="2230"/>
      <c r="S591" s="256"/>
    </row>
    <row r="592" spans="1:19">
      <c r="A592" s="256"/>
      <c r="B592" s="57"/>
      <c r="C592" s="57"/>
      <c r="D592" s="57"/>
      <c r="E592" s="57"/>
      <c r="F592" s="57"/>
      <c r="G592" s="57"/>
      <c r="H592" s="57"/>
      <c r="I592" s="57"/>
      <c r="J592" s="57"/>
      <c r="K592" s="57"/>
      <c r="L592" s="57"/>
      <c r="M592" s="57"/>
      <c r="N592" s="57"/>
      <c r="O592" s="57"/>
      <c r="P592" s="57"/>
      <c r="Q592" s="57"/>
      <c r="R592" s="2230"/>
      <c r="S592" s="256"/>
    </row>
    <row r="593" spans="1:19">
      <c r="A593" s="256"/>
      <c r="B593" s="57"/>
      <c r="C593" s="57"/>
      <c r="D593" s="57"/>
      <c r="E593" s="57"/>
      <c r="F593" s="57"/>
      <c r="G593" s="57"/>
      <c r="H593" s="57"/>
      <c r="I593" s="57"/>
      <c r="J593" s="57"/>
      <c r="K593" s="57"/>
      <c r="L593" s="57"/>
      <c r="M593" s="57"/>
      <c r="N593" s="57"/>
      <c r="O593" s="57"/>
      <c r="P593" s="57"/>
      <c r="Q593" s="57"/>
      <c r="R593" s="2230"/>
      <c r="S593" s="256"/>
    </row>
    <row r="594" spans="1:19">
      <c r="A594" s="256"/>
      <c r="B594" s="57"/>
      <c r="C594" s="57"/>
      <c r="D594" s="57"/>
      <c r="E594" s="57"/>
      <c r="F594" s="57"/>
      <c r="G594" s="57"/>
      <c r="H594" s="57"/>
      <c r="I594" s="57"/>
      <c r="J594" s="57"/>
      <c r="K594" s="57"/>
      <c r="L594" s="57"/>
      <c r="M594" s="57"/>
      <c r="N594" s="57"/>
      <c r="O594" s="57"/>
      <c r="P594" s="57"/>
      <c r="Q594" s="57"/>
      <c r="R594" s="2230"/>
      <c r="S594" s="256"/>
    </row>
    <row r="595" spans="1:19">
      <c r="A595" s="256"/>
      <c r="B595" s="57"/>
      <c r="C595" s="57"/>
      <c r="D595" s="57"/>
      <c r="E595" s="57"/>
      <c r="F595" s="57"/>
      <c r="G595" s="57"/>
      <c r="H595" s="57"/>
      <c r="I595" s="57"/>
      <c r="J595" s="57"/>
      <c r="K595" s="57"/>
      <c r="L595" s="57"/>
      <c r="M595" s="57"/>
      <c r="N595" s="57"/>
      <c r="O595" s="57"/>
      <c r="P595" s="57"/>
      <c r="Q595" s="57"/>
      <c r="R595" s="2230"/>
      <c r="S595" s="256"/>
    </row>
    <row r="596" spans="1:19">
      <c r="A596" s="256"/>
      <c r="B596" s="57"/>
      <c r="C596" s="57"/>
      <c r="D596" s="57"/>
      <c r="E596" s="57"/>
      <c r="F596" s="57"/>
      <c r="G596" s="57"/>
      <c r="H596" s="57"/>
      <c r="I596" s="57"/>
      <c r="J596" s="57"/>
      <c r="K596" s="57"/>
      <c r="L596" s="57"/>
      <c r="M596" s="57"/>
      <c r="N596" s="57"/>
      <c r="O596" s="57"/>
      <c r="P596" s="57"/>
      <c r="Q596" s="57"/>
      <c r="R596" s="2230"/>
      <c r="S596" s="256"/>
    </row>
    <row r="597" spans="1:19">
      <c r="A597" s="256"/>
      <c r="B597" s="57"/>
      <c r="C597" s="57"/>
      <c r="D597" s="57"/>
      <c r="E597" s="57"/>
      <c r="F597" s="57"/>
      <c r="G597" s="57"/>
      <c r="H597" s="57"/>
      <c r="I597" s="57"/>
      <c r="J597" s="57"/>
      <c r="K597" s="57"/>
      <c r="L597" s="57"/>
      <c r="M597" s="57"/>
      <c r="N597" s="57"/>
      <c r="O597" s="57"/>
      <c r="P597" s="57"/>
      <c r="Q597" s="57"/>
      <c r="R597" s="2230"/>
      <c r="S597" s="256"/>
    </row>
    <row r="598" spans="1:19">
      <c r="A598" s="256"/>
      <c r="B598" s="57"/>
      <c r="C598" s="57"/>
      <c r="D598" s="57"/>
      <c r="E598" s="57"/>
      <c r="F598" s="57"/>
      <c r="G598" s="57"/>
      <c r="H598" s="57"/>
      <c r="I598" s="57"/>
      <c r="J598" s="57"/>
      <c r="K598" s="57"/>
      <c r="L598" s="57"/>
      <c r="M598" s="57"/>
      <c r="N598" s="57"/>
      <c r="O598" s="57"/>
      <c r="P598" s="57"/>
      <c r="Q598" s="57"/>
      <c r="R598" s="2230"/>
      <c r="S598" s="256"/>
    </row>
    <row r="599" spans="1:19">
      <c r="A599" s="256"/>
      <c r="B599" s="57"/>
      <c r="C599" s="57"/>
      <c r="D599" s="57"/>
      <c r="E599" s="57"/>
      <c r="F599" s="57"/>
      <c r="G599" s="57"/>
      <c r="H599" s="57"/>
      <c r="I599" s="57"/>
      <c r="J599" s="57"/>
      <c r="K599" s="57"/>
      <c r="L599" s="57"/>
      <c r="M599" s="57"/>
      <c r="N599" s="57"/>
      <c r="O599" s="57"/>
      <c r="P599" s="57"/>
      <c r="Q599" s="57"/>
      <c r="R599" s="2230"/>
      <c r="S599" s="256"/>
    </row>
    <row r="600" spans="1:19">
      <c r="A600" s="256"/>
      <c r="B600" s="57"/>
      <c r="C600" s="57"/>
      <c r="D600" s="57"/>
      <c r="E600" s="57"/>
      <c r="F600" s="57"/>
      <c r="G600" s="57"/>
      <c r="H600" s="57"/>
      <c r="I600" s="57"/>
      <c r="J600" s="57"/>
      <c r="K600" s="57"/>
      <c r="L600" s="57"/>
      <c r="M600" s="57"/>
      <c r="N600" s="57"/>
      <c r="O600" s="57"/>
      <c r="P600" s="57"/>
      <c r="Q600" s="57"/>
      <c r="R600" s="2230"/>
      <c r="S600" s="256"/>
    </row>
    <row r="601" spans="1:19">
      <c r="A601" s="256"/>
      <c r="B601" s="57"/>
      <c r="C601" s="57"/>
      <c r="D601" s="57"/>
      <c r="E601" s="57"/>
      <c r="F601" s="57"/>
      <c r="G601" s="57"/>
      <c r="H601" s="57"/>
      <c r="I601" s="57"/>
      <c r="J601" s="57"/>
      <c r="K601" s="57"/>
      <c r="L601" s="57"/>
      <c r="M601" s="57"/>
      <c r="N601" s="57"/>
      <c r="O601" s="57"/>
      <c r="P601" s="57"/>
      <c r="Q601" s="57"/>
      <c r="R601" s="2230"/>
      <c r="S601" s="256"/>
    </row>
    <row r="602" spans="1:19">
      <c r="A602" s="256"/>
      <c r="B602" s="57"/>
      <c r="C602" s="57"/>
      <c r="D602" s="57"/>
      <c r="E602" s="57"/>
      <c r="F602" s="57"/>
      <c r="G602" s="57"/>
      <c r="H602" s="57"/>
      <c r="I602" s="57"/>
      <c r="J602" s="57"/>
      <c r="K602" s="57"/>
      <c r="L602" s="57"/>
      <c r="M602" s="57"/>
      <c r="N602" s="57"/>
      <c r="O602" s="57"/>
      <c r="P602" s="57"/>
      <c r="Q602" s="57"/>
      <c r="R602" s="2230"/>
      <c r="S602" s="256"/>
    </row>
    <row r="603" spans="1:19">
      <c r="A603" s="256"/>
      <c r="B603" s="57"/>
      <c r="C603" s="57"/>
      <c r="D603" s="57"/>
      <c r="E603" s="57"/>
      <c r="F603" s="57"/>
      <c r="G603" s="57"/>
      <c r="H603" s="57"/>
      <c r="I603" s="57"/>
      <c r="J603" s="57"/>
      <c r="K603" s="57"/>
      <c r="L603" s="57"/>
      <c r="M603" s="57"/>
      <c r="N603" s="57"/>
      <c r="O603" s="57"/>
      <c r="P603" s="57"/>
      <c r="Q603" s="57"/>
      <c r="R603" s="2230"/>
      <c r="S603" s="256"/>
    </row>
    <row r="604" spans="1:19">
      <c r="A604" s="256"/>
      <c r="B604" s="57"/>
      <c r="C604" s="57"/>
      <c r="D604" s="57"/>
      <c r="E604" s="57"/>
      <c r="F604" s="57"/>
      <c r="G604" s="57"/>
      <c r="H604" s="57"/>
      <c r="I604" s="57"/>
      <c r="J604" s="57"/>
      <c r="K604" s="57"/>
      <c r="L604" s="57"/>
      <c r="M604" s="57"/>
      <c r="N604" s="57"/>
      <c r="O604" s="57"/>
      <c r="P604" s="57"/>
      <c r="Q604" s="57"/>
      <c r="R604" s="2230"/>
      <c r="S604" s="256"/>
    </row>
    <row r="605" spans="1:19">
      <c r="A605" s="256"/>
      <c r="B605" s="57"/>
      <c r="C605" s="57"/>
      <c r="D605" s="57"/>
      <c r="E605" s="57"/>
      <c r="F605" s="57"/>
      <c r="G605" s="57"/>
      <c r="H605" s="57"/>
      <c r="I605" s="57"/>
      <c r="J605" s="57"/>
      <c r="K605" s="57"/>
      <c r="L605" s="57"/>
      <c r="M605" s="57"/>
      <c r="N605" s="57"/>
      <c r="O605" s="57"/>
      <c r="P605" s="57"/>
      <c r="Q605" s="57"/>
      <c r="R605" s="2230"/>
      <c r="S605" s="256"/>
    </row>
    <row r="606" spans="1:19">
      <c r="A606" s="256"/>
      <c r="B606" s="57"/>
      <c r="C606" s="57"/>
      <c r="D606" s="57"/>
      <c r="E606" s="57"/>
      <c r="F606" s="57"/>
      <c r="G606" s="57"/>
      <c r="H606" s="57"/>
      <c r="I606" s="57"/>
      <c r="J606" s="57"/>
      <c r="K606" s="57"/>
      <c r="L606" s="57"/>
      <c r="M606" s="57"/>
      <c r="N606" s="57"/>
      <c r="O606" s="57"/>
      <c r="P606" s="57"/>
      <c r="Q606" s="57"/>
      <c r="R606" s="2230"/>
      <c r="S606" s="256"/>
    </row>
    <row r="607" spans="1:19">
      <c r="A607" s="256"/>
      <c r="B607" s="57"/>
      <c r="C607" s="57"/>
      <c r="D607" s="57"/>
      <c r="E607" s="57"/>
      <c r="F607" s="57"/>
      <c r="G607" s="57"/>
      <c r="H607" s="57"/>
      <c r="I607" s="57"/>
      <c r="J607" s="57"/>
      <c r="K607" s="57"/>
      <c r="L607" s="57"/>
      <c r="M607" s="57"/>
      <c r="N607" s="57"/>
      <c r="O607" s="57"/>
      <c r="P607" s="57"/>
      <c r="Q607" s="57"/>
      <c r="R607" s="2230"/>
      <c r="S607" s="256"/>
    </row>
    <row r="608" spans="1:19">
      <c r="A608" s="256"/>
      <c r="B608" s="57"/>
      <c r="C608" s="57"/>
      <c r="D608" s="57"/>
      <c r="E608" s="57"/>
      <c r="F608" s="57"/>
      <c r="G608" s="57"/>
      <c r="H608" s="57"/>
      <c r="I608" s="57"/>
      <c r="J608" s="57"/>
      <c r="K608" s="57"/>
      <c r="L608" s="57"/>
      <c r="M608" s="57"/>
      <c r="N608" s="57"/>
      <c r="O608" s="57"/>
      <c r="P608" s="57"/>
      <c r="Q608" s="57"/>
      <c r="R608" s="2230"/>
      <c r="S608" s="256"/>
    </row>
    <row r="609" spans="1:19">
      <c r="A609" s="256"/>
      <c r="B609" s="57"/>
      <c r="C609" s="57"/>
      <c r="D609" s="57"/>
      <c r="E609" s="57"/>
      <c r="F609" s="57"/>
      <c r="G609" s="57"/>
      <c r="H609" s="57"/>
      <c r="I609" s="57"/>
      <c r="J609" s="57"/>
      <c r="K609" s="57"/>
      <c r="L609" s="57"/>
      <c r="M609" s="57"/>
      <c r="N609" s="57"/>
      <c r="O609" s="57"/>
      <c r="P609" s="57"/>
      <c r="Q609" s="57"/>
      <c r="R609" s="2230"/>
      <c r="S609" s="256"/>
    </row>
    <row r="610" spans="1:19">
      <c r="A610" s="256"/>
      <c r="B610" s="57"/>
      <c r="C610" s="57"/>
      <c r="D610" s="57"/>
      <c r="E610" s="57"/>
      <c r="F610" s="57"/>
      <c r="G610" s="57"/>
      <c r="H610" s="57"/>
      <c r="I610" s="57"/>
      <c r="J610" s="57"/>
      <c r="K610" s="57"/>
      <c r="L610" s="57"/>
      <c r="M610" s="57"/>
      <c r="N610" s="57"/>
      <c r="O610" s="57"/>
      <c r="P610" s="57"/>
      <c r="Q610" s="57"/>
      <c r="R610" s="2230"/>
      <c r="S610" s="256"/>
    </row>
    <row r="611" spans="1:19">
      <c r="A611" s="256"/>
      <c r="B611" s="57"/>
      <c r="C611" s="57"/>
      <c r="D611" s="57"/>
      <c r="E611" s="57"/>
      <c r="F611" s="57"/>
      <c r="G611" s="57"/>
      <c r="H611" s="57"/>
      <c r="I611" s="57"/>
      <c r="J611" s="57"/>
      <c r="K611" s="57"/>
      <c r="L611" s="57"/>
      <c r="M611" s="57"/>
      <c r="N611" s="57"/>
      <c r="O611" s="57"/>
      <c r="P611" s="57"/>
      <c r="Q611" s="57"/>
      <c r="R611" s="2230"/>
      <c r="S611" s="256"/>
    </row>
    <row r="612" spans="1:19">
      <c r="A612" s="256"/>
      <c r="B612" s="57"/>
      <c r="C612" s="57"/>
      <c r="D612" s="57"/>
      <c r="E612" s="57"/>
      <c r="F612" s="57"/>
      <c r="G612" s="57"/>
      <c r="H612" s="57"/>
      <c r="I612" s="57"/>
      <c r="J612" s="57"/>
      <c r="K612" s="57"/>
      <c r="L612" s="57"/>
      <c r="M612" s="57"/>
      <c r="N612" s="57"/>
      <c r="O612" s="57"/>
      <c r="P612" s="57"/>
      <c r="Q612" s="57"/>
      <c r="R612" s="2230"/>
      <c r="S612" s="256"/>
    </row>
    <row r="613" spans="1:19">
      <c r="A613" s="256"/>
      <c r="B613" s="57"/>
      <c r="C613" s="57"/>
      <c r="D613" s="57"/>
      <c r="E613" s="57"/>
      <c r="F613" s="57"/>
      <c r="G613" s="57"/>
      <c r="H613" s="57"/>
      <c r="I613" s="57"/>
      <c r="J613" s="57"/>
      <c r="K613" s="57"/>
      <c r="L613" s="57"/>
      <c r="M613" s="57"/>
      <c r="N613" s="57"/>
      <c r="O613" s="57"/>
      <c r="P613" s="57"/>
      <c r="Q613" s="57"/>
      <c r="R613" s="2230"/>
      <c r="S613" s="256"/>
    </row>
    <row r="614" spans="1:19">
      <c r="A614" s="256"/>
      <c r="B614" s="57"/>
      <c r="C614" s="57"/>
      <c r="D614" s="57"/>
      <c r="E614" s="57"/>
      <c r="F614" s="57"/>
      <c r="G614" s="57"/>
      <c r="H614" s="57"/>
      <c r="I614" s="57"/>
      <c r="J614" s="57"/>
      <c r="K614" s="57"/>
      <c r="L614" s="57"/>
      <c r="M614" s="57"/>
      <c r="N614" s="57"/>
      <c r="O614" s="57"/>
      <c r="P614" s="57"/>
      <c r="Q614" s="57"/>
      <c r="R614" s="2230"/>
      <c r="S614" s="256"/>
    </row>
    <row r="615" spans="1:19">
      <c r="A615" s="256"/>
      <c r="B615" s="57"/>
      <c r="C615" s="57"/>
      <c r="D615" s="57"/>
      <c r="E615" s="57"/>
      <c r="F615" s="57"/>
      <c r="G615" s="57"/>
      <c r="H615" s="57"/>
      <c r="I615" s="57"/>
      <c r="J615" s="57"/>
      <c r="K615" s="57"/>
      <c r="L615" s="57"/>
      <c r="M615" s="57"/>
      <c r="N615" s="57"/>
      <c r="O615" s="57"/>
      <c r="P615" s="57"/>
      <c r="Q615" s="57"/>
      <c r="R615" s="2230"/>
      <c r="S615" s="256"/>
    </row>
    <row r="616" spans="1:19">
      <c r="A616" s="256"/>
      <c r="B616" s="57"/>
      <c r="C616" s="57"/>
      <c r="D616" s="57"/>
      <c r="E616" s="57"/>
      <c r="F616" s="57"/>
      <c r="G616" s="57"/>
      <c r="H616" s="57"/>
      <c r="I616" s="57"/>
      <c r="J616" s="57"/>
      <c r="K616" s="57"/>
      <c r="L616" s="57"/>
      <c r="M616" s="57"/>
      <c r="N616" s="57"/>
      <c r="O616" s="57"/>
      <c r="P616" s="57"/>
      <c r="Q616" s="57"/>
      <c r="R616" s="2230"/>
      <c r="S616" s="256"/>
    </row>
    <row r="617" spans="1:19">
      <c r="A617" s="256"/>
      <c r="B617" s="57"/>
      <c r="C617" s="57"/>
      <c r="D617" s="57"/>
      <c r="E617" s="57"/>
      <c r="F617" s="57"/>
      <c r="G617" s="57"/>
      <c r="H617" s="57"/>
      <c r="I617" s="57"/>
      <c r="J617" s="57"/>
      <c r="K617" s="57"/>
      <c r="L617" s="57"/>
      <c r="M617" s="57"/>
      <c r="N617" s="57"/>
      <c r="O617" s="57"/>
      <c r="P617" s="57"/>
      <c r="Q617" s="57"/>
      <c r="R617" s="2230"/>
      <c r="S617" s="256"/>
    </row>
    <row r="618" spans="1:19">
      <c r="A618" s="256"/>
      <c r="B618" s="57"/>
      <c r="C618" s="57"/>
      <c r="D618" s="57"/>
      <c r="E618" s="57"/>
      <c r="F618" s="57"/>
      <c r="G618" s="57"/>
      <c r="H618" s="57"/>
      <c r="I618" s="57"/>
      <c r="J618" s="57"/>
      <c r="K618" s="57"/>
      <c r="L618" s="57"/>
      <c r="M618" s="57"/>
      <c r="N618" s="57"/>
      <c r="O618" s="57"/>
      <c r="P618" s="57"/>
      <c r="Q618" s="57"/>
      <c r="R618" s="2230"/>
      <c r="S618" s="256"/>
    </row>
    <row r="619" spans="1:19">
      <c r="A619" s="256"/>
      <c r="B619" s="57"/>
      <c r="C619" s="57"/>
      <c r="D619" s="57"/>
      <c r="E619" s="57"/>
      <c r="F619" s="57"/>
      <c r="G619" s="57"/>
      <c r="H619" s="57"/>
      <c r="I619" s="57"/>
      <c r="J619" s="57"/>
      <c r="K619" s="57"/>
      <c r="L619" s="57"/>
      <c r="M619" s="57"/>
      <c r="N619" s="57"/>
      <c r="O619" s="57"/>
      <c r="P619" s="57"/>
      <c r="Q619" s="57"/>
      <c r="R619" s="2230"/>
      <c r="S619" s="256"/>
    </row>
    <row r="620" spans="1:19">
      <c r="A620" s="256"/>
      <c r="B620" s="57"/>
      <c r="C620" s="57"/>
      <c r="D620" s="57"/>
      <c r="E620" s="57"/>
      <c r="F620" s="57"/>
      <c r="G620" s="57"/>
      <c r="H620" s="57"/>
      <c r="I620" s="57"/>
      <c r="J620" s="57"/>
      <c r="K620" s="57"/>
      <c r="L620" s="57"/>
      <c r="M620" s="57"/>
      <c r="N620" s="57"/>
      <c r="O620" s="57"/>
      <c r="P620" s="57"/>
      <c r="Q620" s="57"/>
      <c r="R620" s="2230"/>
      <c r="S620" s="256"/>
    </row>
    <row r="621" spans="1:19">
      <c r="A621" s="256"/>
      <c r="B621" s="57"/>
      <c r="C621" s="57"/>
      <c r="D621" s="57"/>
      <c r="E621" s="57"/>
      <c r="F621" s="57"/>
      <c r="G621" s="57"/>
      <c r="H621" s="57"/>
      <c r="I621" s="57"/>
      <c r="J621" s="57"/>
      <c r="K621" s="57"/>
      <c r="L621" s="57"/>
      <c r="M621" s="57"/>
      <c r="N621" s="57"/>
      <c r="O621" s="57"/>
      <c r="P621" s="57"/>
      <c r="Q621" s="57"/>
      <c r="R621" s="2230"/>
      <c r="S621" s="256"/>
    </row>
    <row r="622" spans="1:19">
      <c r="A622" s="256"/>
      <c r="B622" s="57"/>
      <c r="C622" s="57"/>
      <c r="D622" s="57"/>
      <c r="E622" s="57"/>
      <c r="F622" s="57"/>
      <c r="G622" s="57"/>
      <c r="H622" s="57"/>
      <c r="I622" s="57"/>
      <c r="J622" s="57"/>
      <c r="K622" s="57"/>
      <c r="L622" s="57"/>
      <c r="M622" s="57"/>
      <c r="N622" s="57"/>
      <c r="O622" s="57"/>
      <c r="P622" s="57"/>
      <c r="Q622" s="57"/>
      <c r="R622" s="2230"/>
      <c r="S622" s="256"/>
    </row>
    <row r="623" spans="1:19">
      <c r="A623" s="256"/>
      <c r="B623" s="57"/>
      <c r="C623" s="57"/>
      <c r="D623" s="57"/>
      <c r="E623" s="57"/>
      <c r="F623" s="57"/>
      <c r="G623" s="57"/>
      <c r="H623" s="57"/>
      <c r="I623" s="57"/>
      <c r="J623" s="57"/>
      <c r="K623" s="57"/>
      <c r="L623" s="57"/>
      <c r="M623" s="57"/>
      <c r="N623" s="57"/>
      <c r="O623" s="57"/>
      <c r="P623" s="57"/>
      <c r="Q623" s="57"/>
      <c r="R623" s="2230"/>
      <c r="S623" s="256"/>
    </row>
    <row r="624" spans="1:19">
      <c r="A624" s="256"/>
      <c r="B624" s="57"/>
      <c r="C624" s="57"/>
      <c r="D624" s="57"/>
      <c r="E624" s="57"/>
      <c r="F624" s="57"/>
      <c r="G624" s="57"/>
      <c r="H624" s="57"/>
      <c r="I624" s="57"/>
      <c r="J624" s="57"/>
      <c r="K624" s="57"/>
      <c r="L624" s="57"/>
      <c r="M624" s="57"/>
      <c r="N624" s="57"/>
      <c r="O624" s="57"/>
      <c r="P624" s="57"/>
      <c r="Q624" s="57"/>
      <c r="R624" s="2230"/>
      <c r="S624" s="256"/>
    </row>
    <row r="625" spans="1:19">
      <c r="A625" s="256"/>
      <c r="B625" s="57"/>
      <c r="C625" s="57"/>
      <c r="D625" s="57"/>
      <c r="E625" s="57"/>
      <c r="F625" s="57"/>
      <c r="G625" s="57"/>
      <c r="H625" s="57"/>
      <c r="I625" s="57"/>
      <c r="J625" s="57"/>
      <c r="K625" s="57"/>
      <c r="L625" s="57"/>
      <c r="M625" s="57"/>
      <c r="N625" s="57"/>
      <c r="O625" s="57"/>
      <c r="P625" s="57"/>
      <c r="Q625" s="57"/>
      <c r="R625" s="2230"/>
      <c r="S625" s="256"/>
    </row>
    <row r="626" spans="1:19">
      <c r="A626" s="256"/>
      <c r="B626" s="57"/>
      <c r="C626" s="57"/>
      <c r="D626" s="57"/>
      <c r="E626" s="57"/>
      <c r="F626" s="57"/>
      <c r="G626" s="57"/>
      <c r="H626" s="57"/>
      <c r="I626" s="57"/>
      <c r="J626" s="57"/>
      <c r="K626" s="57"/>
      <c r="L626" s="57"/>
      <c r="M626" s="57"/>
      <c r="N626" s="57"/>
      <c r="O626" s="57"/>
      <c r="P626" s="57"/>
      <c r="Q626" s="57"/>
      <c r="R626" s="2230"/>
      <c r="S626" s="256"/>
    </row>
    <row r="627" spans="1:19">
      <c r="A627" s="256"/>
      <c r="B627" s="57"/>
      <c r="C627" s="57"/>
      <c r="D627" s="57"/>
      <c r="E627" s="57"/>
      <c r="F627" s="57"/>
      <c r="G627" s="57"/>
      <c r="H627" s="57"/>
      <c r="I627" s="57"/>
      <c r="J627" s="57"/>
      <c r="K627" s="57"/>
      <c r="L627" s="57"/>
      <c r="M627" s="57"/>
      <c r="N627" s="57"/>
      <c r="O627" s="57"/>
      <c r="P627" s="57"/>
      <c r="Q627" s="57"/>
      <c r="R627" s="2230"/>
      <c r="S627" s="256"/>
    </row>
    <row r="628" spans="1:19">
      <c r="A628" s="256"/>
      <c r="B628" s="57"/>
      <c r="C628" s="57"/>
      <c r="D628" s="57"/>
      <c r="E628" s="57"/>
      <c r="F628" s="57"/>
      <c r="G628" s="57"/>
      <c r="H628" s="57"/>
      <c r="I628" s="57"/>
      <c r="J628" s="57"/>
      <c r="K628" s="57"/>
      <c r="L628" s="57"/>
      <c r="M628" s="57"/>
      <c r="N628" s="57"/>
      <c r="O628" s="57"/>
      <c r="P628" s="57"/>
      <c r="Q628" s="57"/>
      <c r="R628" s="2230"/>
      <c r="S628" s="256"/>
    </row>
    <row r="629" spans="1:19">
      <c r="A629" s="256"/>
      <c r="B629" s="57"/>
      <c r="C629" s="57"/>
      <c r="D629" s="57"/>
      <c r="E629" s="57"/>
      <c r="F629" s="57"/>
      <c r="G629" s="57"/>
      <c r="H629" s="57"/>
      <c r="I629" s="57"/>
      <c r="J629" s="57"/>
      <c r="K629" s="57"/>
      <c r="L629" s="57"/>
      <c r="M629" s="57"/>
      <c r="N629" s="57"/>
      <c r="O629" s="57"/>
      <c r="P629" s="57"/>
      <c r="Q629" s="57"/>
      <c r="R629" s="2230"/>
      <c r="S629" s="256"/>
    </row>
    <row r="630" spans="1:19">
      <c r="A630" s="256"/>
      <c r="B630" s="57"/>
      <c r="C630" s="57"/>
      <c r="D630" s="57"/>
      <c r="E630" s="57"/>
      <c r="F630" s="57"/>
      <c r="G630" s="57"/>
      <c r="H630" s="57"/>
      <c r="I630" s="57"/>
      <c r="J630" s="57"/>
      <c r="K630" s="57"/>
      <c r="L630" s="57"/>
      <c r="M630" s="57"/>
      <c r="N630" s="57"/>
      <c r="O630" s="57"/>
      <c r="P630" s="57"/>
      <c r="Q630" s="57"/>
      <c r="R630" s="2230"/>
      <c r="S630" s="256"/>
    </row>
    <row r="631" spans="1:19">
      <c r="A631" s="256"/>
      <c r="B631" s="57"/>
      <c r="C631" s="57"/>
      <c r="D631" s="57"/>
      <c r="E631" s="57"/>
      <c r="F631" s="57"/>
      <c r="G631" s="57"/>
      <c r="H631" s="57"/>
      <c r="I631" s="57"/>
      <c r="J631" s="57"/>
      <c r="K631" s="57"/>
      <c r="L631" s="57"/>
      <c r="M631" s="57"/>
      <c r="N631" s="57"/>
      <c r="O631" s="57"/>
      <c r="P631" s="57"/>
      <c r="Q631" s="57"/>
      <c r="R631" s="2230"/>
      <c r="S631" s="256"/>
    </row>
    <row r="632" spans="1:19">
      <c r="A632" s="256"/>
      <c r="B632" s="57"/>
      <c r="C632" s="57"/>
      <c r="D632" s="57"/>
      <c r="E632" s="57"/>
      <c r="F632" s="57"/>
      <c r="G632" s="57"/>
      <c r="H632" s="57"/>
      <c r="I632" s="57"/>
      <c r="J632" s="57"/>
      <c r="K632" s="57"/>
      <c r="L632" s="57"/>
      <c r="M632" s="57"/>
      <c r="N632" s="57"/>
      <c r="O632" s="57"/>
      <c r="P632" s="57"/>
      <c r="Q632" s="57"/>
      <c r="R632" s="2230"/>
      <c r="S632" s="256"/>
    </row>
    <row r="633" spans="1:19">
      <c r="A633" s="256"/>
      <c r="B633" s="57"/>
      <c r="C633" s="57"/>
      <c r="D633" s="57"/>
      <c r="E633" s="57"/>
      <c r="F633" s="57"/>
      <c r="G633" s="57"/>
      <c r="H633" s="57"/>
      <c r="I633" s="57"/>
      <c r="J633" s="57"/>
      <c r="K633" s="57"/>
      <c r="L633" s="57"/>
      <c r="M633" s="57"/>
      <c r="N633" s="57"/>
      <c r="O633" s="57"/>
      <c r="P633" s="57"/>
      <c r="Q633" s="57"/>
      <c r="R633" s="2230"/>
      <c r="S633" s="256"/>
    </row>
    <row r="634" spans="1:19">
      <c r="A634" s="256"/>
      <c r="B634" s="57"/>
      <c r="C634" s="57"/>
      <c r="D634" s="57"/>
      <c r="E634" s="57"/>
      <c r="F634" s="57"/>
      <c r="G634" s="57"/>
      <c r="H634" s="57"/>
      <c r="I634" s="57"/>
      <c r="J634" s="57"/>
      <c r="K634" s="57"/>
      <c r="L634" s="57"/>
      <c r="M634" s="57"/>
      <c r="N634" s="57"/>
      <c r="O634" s="57"/>
      <c r="P634" s="57"/>
      <c r="Q634" s="57"/>
      <c r="R634" s="2230"/>
      <c r="S634" s="256"/>
    </row>
    <row r="635" spans="1:19">
      <c r="A635" s="256"/>
      <c r="B635" s="57"/>
      <c r="C635" s="57"/>
      <c r="D635" s="57"/>
      <c r="E635" s="57"/>
      <c r="F635" s="57"/>
      <c r="G635" s="57"/>
      <c r="H635" s="57"/>
      <c r="I635" s="57"/>
      <c r="J635" s="57"/>
      <c r="K635" s="57"/>
      <c r="L635" s="57"/>
      <c r="M635" s="57"/>
      <c r="N635" s="57"/>
      <c r="O635" s="57"/>
      <c r="P635" s="57"/>
      <c r="Q635" s="57"/>
      <c r="R635" s="2230"/>
      <c r="S635" s="256"/>
    </row>
    <row r="636" spans="1:19">
      <c r="A636" s="256"/>
      <c r="B636" s="57"/>
      <c r="C636" s="57"/>
      <c r="D636" s="57"/>
      <c r="E636" s="57"/>
      <c r="F636" s="57"/>
      <c r="G636" s="57"/>
      <c r="H636" s="57"/>
      <c r="I636" s="57"/>
      <c r="J636" s="57"/>
      <c r="K636" s="57"/>
      <c r="L636" s="57"/>
      <c r="M636" s="57"/>
      <c r="N636" s="57"/>
      <c r="O636" s="57"/>
      <c r="P636" s="57"/>
      <c r="Q636" s="57"/>
      <c r="R636" s="2230"/>
      <c r="S636" s="256"/>
    </row>
    <row r="637" spans="1:19">
      <c r="A637" s="256"/>
      <c r="B637" s="57"/>
      <c r="C637" s="57"/>
      <c r="D637" s="57"/>
      <c r="E637" s="57"/>
      <c r="F637" s="57"/>
      <c r="G637" s="57"/>
      <c r="H637" s="57"/>
      <c r="I637" s="57"/>
      <c r="J637" s="57"/>
      <c r="K637" s="57"/>
      <c r="L637" s="57"/>
      <c r="M637" s="57"/>
      <c r="N637" s="57"/>
      <c r="O637" s="57"/>
      <c r="P637" s="57"/>
      <c r="Q637" s="57"/>
      <c r="R637" s="2230"/>
      <c r="S637" s="256"/>
    </row>
    <row r="638" spans="1:19">
      <c r="A638" s="256"/>
      <c r="B638" s="57"/>
      <c r="C638" s="57"/>
      <c r="D638" s="57"/>
      <c r="E638" s="57"/>
      <c r="F638" s="57"/>
      <c r="G638" s="57"/>
      <c r="H638" s="57"/>
      <c r="I638" s="57"/>
      <c r="J638" s="57"/>
      <c r="K638" s="57"/>
      <c r="L638" s="57"/>
      <c r="M638" s="57"/>
      <c r="N638" s="57"/>
      <c r="O638" s="57"/>
      <c r="P638" s="57"/>
      <c r="Q638" s="57"/>
      <c r="R638" s="2230"/>
      <c r="S638" s="256"/>
    </row>
    <row r="639" spans="1:19">
      <c r="A639" s="256"/>
      <c r="B639" s="57"/>
      <c r="C639" s="57"/>
      <c r="D639" s="57"/>
      <c r="E639" s="57"/>
      <c r="F639" s="57"/>
      <c r="G639" s="57"/>
      <c r="H639" s="57"/>
      <c r="I639" s="57"/>
      <c r="J639" s="57"/>
      <c r="K639" s="57"/>
      <c r="L639" s="57"/>
      <c r="M639" s="57"/>
      <c r="N639" s="57"/>
      <c r="O639" s="57"/>
      <c r="P639" s="57"/>
      <c r="Q639" s="57"/>
      <c r="R639" s="2230"/>
      <c r="S639" s="256"/>
    </row>
    <row r="640" spans="1:19">
      <c r="A640" s="256"/>
      <c r="B640" s="57"/>
      <c r="C640" s="57"/>
      <c r="D640" s="57"/>
      <c r="E640" s="57"/>
      <c r="F640" s="57"/>
      <c r="G640" s="57"/>
      <c r="H640" s="57"/>
      <c r="I640" s="57"/>
      <c r="J640" s="57"/>
      <c r="K640" s="57"/>
      <c r="L640" s="57"/>
      <c r="M640" s="57"/>
      <c r="N640" s="57"/>
      <c r="O640" s="57"/>
      <c r="P640" s="57"/>
      <c r="Q640" s="57"/>
      <c r="R640" s="2230"/>
      <c r="S640" s="256"/>
    </row>
    <row r="641" spans="1:19">
      <c r="A641" s="256"/>
      <c r="B641" s="57"/>
      <c r="C641" s="57"/>
      <c r="D641" s="57"/>
      <c r="E641" s="57"/>
      <c r="F641" s="57"/>
      <c r="G641" s="57"/>
      <c r="H641" s="57"/>
      <c r="I641" s="57"/>
      <c r="J641" s="57"/>
      <c r="K641" s="57"/>
      <c r="L641" s="57"/>
      <c r="M641" s="57"/>
      <c r="N641" s="57"/>
      <c r="O641" s="57"/>
      <c r="P641" s="57"/>
      <c r="Q641" s="57"/>
      <c r="R641" s="2230"/>
      <c r="S641" s="256"/>
    </row>
    <row r="642" spans="1:19">
      <c r="A642" s="256"/>
      <c r="B642" s="57"/>
      <c r="C642" s="57"/>
      <c r="D642" s="57"/>
      <c r="E642" s="57"/>
      <c r="F642" s="57"/>
      <c r="G642" s="57"/>
      <c r="H642" s="57"/>
      <c r="I642" s="57"/>
      <c r="J642" s="57"/>
      <c r="K642" s="57"/>
      <c r="L642" s="57"/>
      <c r="M642" s="57"/>
      <c r="N642" s="57"/>
      <c r="O642" s="57"/>
      <c r="P642" s="57"/>
      <c r="Q642" s="57"/>
      <c r="R642" s="2230"/>
      <c r="S642" s="256"/>
    </row>
    <row r="643" spans="1:19">
      <c r="A643" s="256"/>
      <c r="B643" s="57"/>
      <c r="C643" s="57"/>
      <c r="D643" s="57"/>
      <c r="E643" s="57"/>
      <c r="F643" s="57"/>
      <c r="G643" s="57"/>
      <c r="H643" s="57"/>
      <c r="I643" s="57"/>
      <c r="J643" s="57"/>
      <c r="K643" s="57"/>
      <c r="L643" s="57"/>
      <c r="M643" s="57"/>
      <c r="N643" s="57"/>
      <c r="O643" s="57"/>
      <c r="P643" s="57"/>
      <c r="Q643" s="57"/>
      <c r="R643" s="2230"/>
      <c r="S643" s="256"/>
    </row>
    <row r="644" spans="1:19">
      <c r="A644" s="256"/>
      <c r="B644" s="57"/>
      <c r="C644" s="57"/>
      <c r="D644" s="57"/>
      <c r="E644" s="57"/>
      <c r="F644" s="57"/>
      <c r="G644" s="57"/>
      <c r="H644" s="57"/>
      <c r="I644" s="57"/>
      <c r="J644" s="57"/>
      <c r="K644" s="57"/>
      <c r="L644" s="57"/>
      <c r="M644" s="57"/>
      <c r="N644" s="57"/>
      <c r="O644" s="57"/>
      <c r="P644" s="57"/>
      <c r="Q644" s="57"/>
      <c r="R644" s="2230"/>
      <c r="S644" s="256"/>
    </row>
    <row r="645" spans="1:19">
      <c r="A645" s="256"/>
      <c r="B645" s="57"/>
      <c r="C645" s="57"/>
      <c r="D645" s="57"/>
      <c r="E645" s="57"/>
      <c r="F645" s="57"/>
      <c r="G645" s="57"/>
      <c r="H645" s="57"/>
      <c r="I645" s="57"/>
      <c r="J645" s="57"/>
      <c r="K645" s="57"/>
      <c r="L645" s="57"/>
      <c r="M645" s="57"/>
      <c r="N645" s="57"/>
      <c r="O645" s="57"/>
      <c r="P645" s="57"/>
      <c r="Q645" s="57"/>
      <c r="R645" s="2230"/>
      <c r="S645" s="256"/>
    </row>
    <row r="646" spans="1:19">
      <c r="A646" s="256"/>
      <c r="B646" s="57"/>
      <c r="C646" s="57"/>
      <c r="D646" s="57"/>
      <c r="E646" s="57"/>
      <c r="F646" s="57"/>
      <c r="G646" s="57"/>
      <c r="H646" s="57"/>
      <c r="I646" s="57"/>
      <c r="J646" s="57"/>
      <c r="K646" s="57"/>
      <c r="L646" s="57"/>
      <c r="M646" s="57"/>
      <c r="N646" s="57"/>
      <c r="O646" s="57"/>
      <c r="P646" s="57"/>
      <c r="Q646" s="57"/>
      <c r="R646" s="2230"/>
      <c r="S646" s="256"/>
    </row>
    <row r="647" spans="1:19">
      <c r="A647" s="256"/>
      <c r="B647" s="57"/>
      <c r="C647" s="57"/>
      <c r="D647" s="57"/>
      <c r="E647" s="57"/>
      <c r="F647" s="57"/>
      <c r="G647" s="57"/>
      <c r="H647" s="57"/>
      <c r="I647" s="57"/>
      <c r="J647" s="57"/>
      <c r="K647" s="57"/>
      <c r="L647" s="57"/>
      <c r="M647" s="57"/>
      <c r="N647" s="57"/>
      <c r="O647" s="57"/>
      <c r="P647" s="57"/>
      <c r="Q647" s="57"/>
      <c r="R647" s="2230"/>
      <c r="S647" s="256"/>
    </row>
    <row r="648" spans="1:19">
      <c r="A648" s="256"/>
      <c r="B648" s="57"/>
      <c r="C648" s="57"/>
      <c r="D648" s="57"/>
      <c r="E648" s="57"/>
      <c r="F648" s="57"/>
      <c r="G648" s="57"/>
      <c r="H648" s="57"/>
      <c r="I648" s="57"/>
      <c r="J648" s="57"/>
      <c r="K648" s="57"/>
      <c r="L648" s="57"/>
      <c r="M648" s="57"/>
      <c r="N648" s="57"/>
      <c r="O648" s="57"/>
      <c r="P648" s="57"/>
      <c r="Q648" s="57"/>
      <c r="R648" s="2230"/>
      <c r="S648" s="256"/>
    </row>
    <row r="649" spans="1:19">
      <c r="A649" s="256"/>
      <c r="B649" s="57"/>
      <c r="C649" s="57"/>
      <c r="D649" s="57"/>
      <c r="E649" s="57"/>
      <c r="F649" s="57"/>
      <c r="G649" s="57"/>
      <c r="H649" s="57"/>
      <c r="I649" s="57"/>
      <c r="J649" s="57"/>
      <c r="K649" s="57"/>
      <c r="L649" s="57"/>
      <c r="M649" s="57"/>
      <c r="N649" s="57"/>
      <c r="O649" s="57"/>
      <c r="P649" s="57"/>
      <c r="Q649" s="57"/>
      <c r="R649" s="2230"/>
      <c r="S649" s="256"/>
    </row>
    <row r="650" spans="1:19">
      <c r="A650" s="256"/>
      <c r="B650" s="57"/>
      <c r="C650" s="57"/>
      <c r="D650" s="57"/>
      <c r="E650" s="57"/>
      <c r="F650" s="57"/>
      <c r="G650" s="57"/>
      <c r="H650" s="57"/>
      <c r="I650" s="57"/>
      <c r="J650" s="57"/>
      <c r="K650" s="57"/>
      <c r="L650" s="57"/>
      <c r="M650" s="57"/>
      <c r="N650" s="57"/>
      <c r="O650" s="57"/>
      <c r="P650" s="57"/>
      <c r="Q650" s="57"/>
      <c r="R650" s="2230"/>
      <c r="S650" s="256"/>
    </row>
    <row r="651" spans="1:19">
      <c r="A651" s="256"/>
      <c r="B651" s="57"/>
      <c r="C651" s="57"/>
      <c r="D651" s="57"/>
      <c r="E651" s="57"/>
      <c r="F651" s="57"/>
      <c r="G651" s="57"/>
      <c r="H651" s="57"/>
      <c r="I651" s="57"/>
      <c r="J651" s="57"/>
      <c r="K651" s="57"/>
      <c r="L651" s="57"/>
      <c r="M651" s="57"/>
      <c r="N651" s="57"/>
      <c r="O651" s="57"/>
      <c r="P651" s="57"/>
      <c r="Q651" s="57"/>
      <c r="R651" s="2230"/>
      <c r="S651" s="256"/>
    </row>
    <row r="652" spans="1:19">
      <c r="A652" s="256"/>
      <c r="B652" s="57"/>
      <c r="C652" s="57"/>
      <c r="D652" s="57"/>
      <c r="E652" s="57"/>
      <c r="F652" s="57"/>
      <c r="G652" s="57"/>
      <c r="H652" s="57"/>
      <c r="I652" s="57"/>
      <c r="J652" s="57"/>
      <c r="K652" s="57"/>
      <c r="L652" s="57"/>
      <c r="M652" s="57"/>
      <c r="N652" s="57"/>
      <c r="O652" s="57"/>
      <c r="P652" s="57"/>
      <c r="Q652" s="57"/>
      <c r="R652" s="2230"/>
      <c r="S652" s="256"/>
    </row>
    <row r="653" spans="1:19">
      <c r="A653" s="256"/>
      <c r="B653" s="57"/>
      <c r="C653" s="57"/>
      <c r="D653" s="57"/>
      <c r="E653" s="57"/>
      <c r="F653" s="57"/>
      <c r="G653" s="57"/>
      <c r="H653" s="57"/>
      <c r="I653" s="57"/>
      <c r="J653" s="57"/>
      <c r="K653" s="57"/>
      <c r="L653" s="57"/>
      <c r="M653" s="57"/>
      <c r="N653" s="57"/>
      <c r="O653" s="57"/>
      <c r="P653" s="57"/>
      <c r="Q653" s="57"/>
      <c r="R653" s="2230"/>
      <c r="S653" s="256"/>
    </row>
    <row r="654" spans="1:19">
      <c r="A654" s="256"/>
      <c r="B654" s="57"/>
      <c r="C654" s="57"/>
      <c r="D654" s="57"/>
      <c r="E654" s="57"/>
      <c r="F654" s="57"/>
      <c r="G654" s="57"/>
      <c r="H654" s="57"/>
      <c r="I654" s="57"/>
      <c r="J654" s="57"/>
      <c r="K654" s="57"/>
      <c r="L654" s="57"/>
      <c r="M654" s="57"/>
      <c r="N654" s="57"/>
      <c r="O654" s="57"/>
      <c r="P654" s="57"/>
      <c r="Q654" s="57"/>
      <c r="R654" s="2230"/>
      <c r="S654" s="256"/>
    </row>
    <row r="655" spans="1:19">
      <c r="A655" s="256"/>
      <c r="B655" s="57"/>
      <c r="C655" s="57"/>
      <c r="D655" s="57"/>
      <c r="E655" s="57"/>
      <c r="F655" s="57"/>
      <c r="G655" s="57"/>
      <c r="H655" s="57"/>
      <c r="I655" s="57"/>
      <c r="J655" s="57"/>
      <c r="K655" s="57"/>
      <c r="L655" s="57"/>
      <c r="M655" s="57"/>
      <c r="N655" s="57"/>
      <c r="O655" s="57"/>
      <c r="P655" s="57"/>
      <c r="Q655" s="57"/>
      <c r="R655" s="2230"/>
      <c r="S655" s="256"/>
    </row>
    <row r="656" spans="1:19">
      <c r="A656" s="256"/>
      <c r="B656" s="57"/>
      <c r="C656" s="57"/>
      <c r="D656" s="57"/>
      <c r="E656" s="57"/>
      <c r="F656" s="57"/>
      <c r="G656" s="57"/>
      <c r="H656" s="57"/>
      <c r="I656" s="57"/>
      <c r="J656" s="57"/>
      <c r="K656" s="57"/>
      <c r="L656" s="57"/>
      <c r="M656" s="57"/>
      <c r="N656" s="57"/>
      <c r="O656" s="57"/>
      <c r="P656" s="57"/>
      <c r="Q656" s="57"/>
      <c r="R656" s="2230"/>
      <c r="S656" s="256"/>
    </row>
    <row r="657" spans="1:19">
      <c r="A657" s="256"/>
      <c r="B657" s="57"/>
      <c r="C657" s="57"/>
      <c r="D657" s="57"/>
      <c r="E657" s="57"/>
      <c r="F657" s="57"/>
      <c r="G657" s="57"/>
      <c r="H657" s="57"/>
      <c r="I657" s="57"/>
      <c r="J657" s="57"/>
      <c r="K657" s="57"/>
      <c r="L657" s="57"/>
      <c r="M657" s="57"/>
      <c r="N657" s="57"/>
      <c r="O657" s="57"/>
      <c r="P657" s="57"/>
      <c r="Q657" s="57"/>
      <c r="R657" s="2230"/>
      <c r="S657" s="256"/>
    </row>
    <row r="658" spans="1:19">
      <c r="A658" s="256"/>
      <c r="B658" s="57"/>
      <c r="C658" s="57"/>
      <c r="D658" s="57"/>
      <c r="E658" s="57"/>
      <c r="F658" s="57"/>
      <c r="G658" s="57"/>
      <c r="H658" s="57"/>
      <c r="I658" s="57"/>
      <c r="J658" s="57"/>
      <c r="K658" s="57"/>
      <c r="L658" s="57"/>
      <c r="M658" s="57"/>
      <c r="N658" s="57"/>
      <c r="O658" s="57"/>
      <c r="P658" s="57"/>
      <c r="Q658" s="57"/>
      <c r="R658" s="2230"/>
      <c r="S658" s="256"/>
    </row>
    <row r="659" spans="1:19">
      <c r="A659" s="256"/>
      <c r="B659" s="57"/>
      <c r="C659" s="57"/>
      <c r="D659" s="57"/>
      <c r="E659" s="57"/>
      <c r="F659" s="57"/>
      <c r="G659" s="57"/>
      <c r="H659" s="57"/>
      <c r="I659" s="57"/>
      <c r="J659" s="57"/>
      <c r="K659" s="57"/>
      <c r="L659" s="57"/>
      <c r="M659" s="57"/>
      <c r="N659" s="57"/>
      <c r="O659" s="57"/>
      <c r="P659" s="57"/>
      <c r="Q659" s="57"/>
      <c r="R659" s="2230"/>
      <c r="S659" s="256"/>
    </row>
    <row r="660" spans="1:19">
      <c r="A660" s="256"/>
      <c r="B660" s="57"/>
      <c r="C660" s="57"/>
      <c r="D660" s="57"/>
      <c r="E660" s="57"/>
      <c r="F660" s="57"/>
      <c r="G660" s="57"/>
      <c r="H660" s="57"/>
      <c r="I660" s="57"/>
      <c r="J660" s="57"/>
      <c r="K660" s="57"/>
      <c r="L660" s="57"/>
      <c r="M660" s="57"/>
      <c r="N660" s="57"/>
      <c r="O660" s="57"/>
      <c r="P660" s="57"/>
      <c r="Q660" s="57"/>
      <c r="R660" s="2230"/>
      <c r="S660" s="256"/>
    </row>
    <row r="661" spans="1:19">
      <c r="A661" s="256"/>
      <c r="B661" s="57"/>
      <c r="C661" s="57"/>
      <c r="D661" s="57"/>
      <c r="E661" s="57"/>
      <c r="F661" s="57"/>
      <c r="G661" s="57"/>
      <c r="H661" s="57"/>
      <c r="I661" s="57"/>
      <c r="J661" s="57"/>
      <c r="K661" s="57"/>
      <c r="L661" s="57"/>
      <c r="M661" s="57"/>
      <c r="N661" s="57"/>
      <c r="O661" s="57"/>
      <c r="P661" s="57"/>
      <c r="Q661" s="57"/>
      <c r="R661" s="2230"/>
      <c r="S661" s="256"/>
    </row>
    <row r="662" spans="1:19">
      <c r="A662" s="256"/>
      <c r="B662" s="57"/>
      <c r="C662" s="57"/>
      <c r="D662" s="57"/>
      <c r="E662" s="57"/>
      <c r="F662" s="57"/>
      <c r="G662" s="57"/>
      <c r="H662" s="57"/>
      <c r="I662" s="57"/>
      <c r="J662" s="57"/>
      <c r="K662" s="57"/>
      <c r="L662" s="57"/>
      <c r="M662" s="57"/>
      <c r="N662" s="57"/>
      <c r="O662" s="57"/>
      <c r="P662" s="57"/>
      <c r="Q662" s="57"/>
      <c r="R662" s="2230"/>
      <c r="S662" s="256"/>
    </row>
    <row r="663" spans="1:19">
      <c r="A663" s="256"/>
      <c r="B663" s="57"/>
      <c r="C663" s="57"/>
      <c r="D663" s="57"/>
      <c r="E663" s="57"/>
      <c r="F663" s="57"/>
      <c r="G663" s="57"/>
      <c r="H663" s="57"/>
      <c r="I663" s="57"/>
      <c r="J663" s="57"/>
      <c r="K663" s="57"/>
      <c r="L663" s="57"/>
      <c r="M663" s="57"/>
      <c r="N663" s="57"/>
      <c r="O663" s="57"/>
      <c r="P663" s="57"/>
      <c r="Q663" s="57"/>
      <c r="R663" s="2230"/>
      <c r="S663" s="256"/>
    </row>
    <row r="664" spans="1:19">
      <c r="A664" s="256"/>
      <c r="B664" s="57"/>
      <c r="C664" s="57"/>
      <c r="D664" s="57"/>
      <c r="E664" s="57"/>
      <c r="F664" s="57"/>
      <c r="G664" s="57"/>
      <c r="H664" s="57"/>
      <c r="I664" s="57"/>
      <c r="J664" s="57"/>
      <c r="K664" s="57"/>
      <c r="L664" s="57"/>
      <c r="M664" s="57"/>
      <c r="N664" s="57"/>
      <c r="O664" s="57"/>
      <c r="P664" s="57"/>
      <c r="Q664" s="57"/>
      <c r="R664" s="2230"/>
      <c r="S664" s="256"/>
    </row>
    <row r="665" spans="1:19">
      <c r="A665" s="256"/>
      <c r="B665" s="57"/>
      <c r="C665" s="57"/>
      <c r="D665" s="57"/>
      <c r="E665" s="57"/>
      <c r="F665" s="57"/>
      <c r="G665" s="57"/>
      <c r="H665" s="57"/>
      <c r="I665" s="57"/>
      <c r="J665" s="57"/>
      <c r="K665" s="57"/>
      <c r="L665" s="57"/>
      <c r="M665" s="57"/>
      <c r="N665" s="57"/>
      <c r="O665" s="57"/>
      <c r="P665" s="57"/>
      <c r="Q665" s="57"/>
      <c r="R665" s="2230"/>
      <c r="S665" s="256"/>
    </row>
    <row r="666" spans="1:19">
      <c r="A666" s="256"/>
      <c r="B666" s="57"/>
      <c r="C666" s="57"/>
      <c r="D666" s="57"/>
      <c r="E666" s="57"/>
      <c r="F666" s="57"/>
      <c r="G666" s="57"/>
      <c r="H666" s="57"/>
      <c r="I666" s="57"/>
      <c r="J666" s="57"/>
      <c r="K666" s="57"/>
      <c r="L666" s="57"/>
      <c r="M666" s="57"/>
      <c r="N666" s="57"/>
      <c r="O666" s="57"/>
      <c r="P666" s="57"/>
      <c r="Q666" s="57"/>
      <c r="R666" s="2230"/>
      <c r="S666" s="256"/>
    </row>
    <row r="667" spans="1:19">
      <c r="A667" s="256"/>
      <c r="B667" s="57"/>
      <c r="C667" s="57"/>
      <c r="D667" s="57"/>
      <c r="E667" s="57"/>
      <c r="F667" s="57"/>
      <c r="G667" s="57"/>
      <c r="H667" s="57"/>
      <c r="I667" s="57"/>
      <c r="J667" s="57"/>
      <c r="K667" s="57"/>
      <c r="L667" s="57"/>
      <c r="M667" s="57"/>
      <c r="N667" s="57"/>
      <c r="O667" s="57"/>
      <c r="P667" s="57"/>
      <c r="Q667" s="57"/>
      <c r="R667" s="2230"/>
      <c r="S667" s="256"/>
    </row>
    <row r="668" spans="1:19">
      <c r="A668" s="256"/>
      <c r="B668" s="57"/>
      <c r="C668" s="57"/>
      <c r="D668" s="57"/>
      <c r="E668" s="57"/>
      <c r="F668" s="57"/>
      <c r="G668" s="57"/>
      <c r="H668" s="57"/>
      <c r="I668" s="57"/>
      <c r="J668" s="57"/>
      <c r="K668" s="57"/>
      <c r="L668" s="57"/>
      <c r="M668" s="57"/>
      <c r="N668" s="57"/>
      <c r="O668" s="57"/>
      <c r="P668" s="57"/>
      <c r="Q668" s="57"/>
      <c r="R668" s="2230"/>
      <c r="S668" s="256"/>
    </row>
    <row r="669" spans="1:19">
      <c r="A669" s="256"/>
      <c r="B669" s="57"/>
      <c r="C669" s="57"/>
      <c r="D669" s="57"/>
      <c r="E669" s="57"/>
      <c r="F669" s="57"/>
      <c r="G669" s="57"/>
      <c r="H669" s="57"/>
      <c r="I669" s="57"/>
      <c r="J669" s="57"/>
      <c r="K669" s="57"/>
      <c r="L669" s="57"/>
      <c r="M669" s="57"/>
      <c r="N669" s="57"/>
      <c r="O669" s="57"/>
      <c r="P669" s="57"/>
      <c r="Q669" s="57"/>
      <c r="R669" s="2230"/>
      <c r="S669" s="256"/>
    </row>
    <row r="670" spans="1:19">
      <c r="A670" s="256"/>
      <c r="B670" s="57"/>
      <c r="C670" s="57"/>
      <c r="D670" s="57"/>
      <c r="E670" s="57"/>
      <c r="F670" s="57"/>
      <c r="G670" s="57"/>
      <c r="H670" s="57"/>
      <c r="I670" s="57"/>
      <c r="J670" s="57"/>
      <c r="K670" s="57"/>
      <c r="L670" s="57"/>
      <c r="M670" s="57"/>
      <c r="N670" s="57"/>
      <c r="O670" s="57"/>
      <c r="P670" s="57"/>
      <c r="Q670" s="57"/>
      <c r="R670" s="2230"/>
      <c r="S670" s="256"/>
    </row>
    <row r="671" spans="1:19">
      <c r="A671" s="256"/>
      <c r="B671" s="57"/>
      <c r="C671" s="57"/>
      <c r="D671" s="57"/>
      <c r="E671" s="57"/>
      <c r="F671" s="57"/>
      <c r="G671" s="57"/>
      <c r="H671" s="57"/>
      <c r="I671" s="57"/>
      <c r="J671" s="57"/>
      <c r="K671" s="57"/>
      <c r="L671" s="57"/>
      <c r="M671" s="57"/>
      <c r="N671" s="57"/>
      <c r="O671" s="57"/>
      <c r="P671" s="57"/>
      <c r="Q671" s="57"/>
      <c r="R671" s="2230"/>
      <c r="S671" s="256"/>
    </row>
    <row r="672" spans="1:19">
      <c r="A672" s="256"/>
      <c r="B672" s="57"/>
      <c r="C672" s="57"/>
      <c r="D672" s="57"/>
      <c r="E672" s="57"/>
      <c r="F672" s="57"/>
      <c r="G672" s="57"/>
      <c r="H672" s="57"/>
      <c r="I672" s="57"/>
      <c r="J672" s="57"/>
      <c r="K672" s="57"/>
      <c r="L672" s="57"/>
      <c r="M672" s="57"/>
      <c r="N672" s="57"/>
      <c r="O672" s="57"/>
      <c r="P672" s="57"/>
      <c r="Q672" s="57"/>
      <c r="R672" s="2230"/>
      <c r="S672" s="256"/>
    </row>
    <row r="673" spans="1:19">
      <c r="A673" s="256"/>
      <c r="B673" s="57"/>
      <c r="C673" s="57"/>
      <c r="D673" s="57"/>
      <c r="E673" s="57"/>
      <c r="F673" s="57"/>
      <c r="G673" s="57"/>
      <c r="H673" s="57"/>
      <c r="I673" s="57"/>
      <c r="J673" s="57"/>
      <c r="K673" s="57"/>
      <c r="L673" s="57"/>
      <c r="M673" s="57"/>
      <c r="N673" s="57"/>
      <c r="O673" s="57"/>
      <c r="P673" s="57"/>
      <c r="Q673" s="57"/>
      <c r="R673" s="2230"/>
      <c r="S673" s="256"/>
    </row>
    <row r="674" spans="1:19">
      <c r="A674" s="256"/>
      <c r="B674" s="57"/>
      <c r="C674" s="57"/>
      <c r="D674" s="57"/>
      <c r="E674" s="57"/>
      <c r="F674" s="57"/>
      <c r="G674" s="57"/>
      <c r="H674" s="57"/>
      <c r="I674" s="57"/>
      <c r="J674" s="57"/>
      <c r="K674" s="57"/>
      <c r="L674" s="57"/>
      <c r="M674" s="57"/>
      <c r="N674" s="57"/>
      <c r="O674" s="57"/>
      <c r="P674" s="57"/>
      <c r="Q674" s="57"/>
      <c r="R674" s="2230"/>
      <c r="S674" s="256"/>
    </row>
    <row r="675" spans="1:19">
      <c r="A675" s="256"/>
      <c r="B675" s="57"/>
      <c r="C675" s="57"/>
      <c r="D675" s="57"/>
      <c r="E675" s="57"/>
      <c r="F675" s="57"/>
      <c r="G675" s="57"/>
      <c r="H675" s="57"/>
      <c r="I675" s="57"/>
      <c r="J675" s="57"/>
      <c r="K675" s="57"/>
      <c r="L675" s="57"/>
      <c r="M675" s="57"/>
      <c r="N675" s="57"/>
      <c r="O675" s="57"/>
      <c r="P675" s="57"/>
      <c r="Q675" s="57"/>
      <c r="R675" s="2230"/>
      <c r="S675" s="256"/>
    </row>
    <row r="676" spans="1:19">
      <c r="A676" s="256"/>
      <c r="B676" s="57"/>
      <c r="C676" s="57"/>
      <c r="D676" s="57"/>
      <c r="E676" s="57"/>
      <c r="F676" s="57"/>
      <c r="G676" s="57"/>
      <c r="H676" s="57"/>
      <c r="I676" s="57"/>
      <c r="J676" s="57"/>
      <c r="K676" s="57"/>
      <c r="L676" s="57"/>
      <c r="M676" s="57"/>
      <c r="N676" s="57"/>
      <c r="O676" s="57"/>
      <c r="P676" s="57"/>
      <c r="Q676" s="57"/>
      <c r="R676" s="2230"/>
      <c r="S676" s="256"/>
    </row>
    <row r="677" spans="1:19">
      <c r="A677" s="256"/>
      <c r="B677" s="57"/>
      <c r="C677" s="57"/>
      <c r="D677" s="57"/>
      <c r="E677" s="57"/>
      <c r="F677" s="57"/>
      <c r="G677" s="57"/>
      <c r="H677" s="57"/>
      <c r="I677" s="57"/>
      <c r="J677" s="57"/>
      <c r="K677" s="57"/>
      <c r="L677" s="57"/>
      <c r="M677" s="57"/>
      <c r="N677" s="57"/>
      <c r="O677" s="57"/>
      <c r="P677" s="57"/>
      <c r="Q677" s="57"/>
      <c r="R677" s="2230"/>
      <c r="S677" s="256"/>
    </row>
    <row r="678" spans="1:19">
      <c r="A678" s="256"/>
      <c r="B678" s="57"/>
      <c r="C678" s="57"/>
      <c r="D678" s="57"/>
      <c r="E678" s="57"/>
      <c r="F678" s="57"/>
      <c r="G678" s="57"/>
      <c r="H678" s="57"/>
      <c r="I678" s="57"/>
      <c r="J678" s="57"/>
      <c r="K678" s="57"/>
      <c r="L678" s="57"/>
      <c r="M678" s="57"/>
      <c r="N678" s="57"/>
      <c r="O678" s="57"/>
      <c r="P678" s="57"/>
      <c r="Q678" s="57"/>
      <c r="R678" s="2230"/>
      <c r="S678" s="256"/>
    </row>
    <row r="679" spans="1:19">
      <c r="A679" s="256"/>
      <c r="B679" s="57"/>
      <c r="C679" s="57"/>
      <c r="D679" s="57"/>
      <c r="E679" s="57"/>
      <c r="F679" s="57"/>
      <c r="G679" s="57"/>
      <c r="H679" s="57"/>
      <c r="I679" s="57"/>
      <c r="J679" s="57"/>
      <c r="K679" s="57"/>
      <c r="L679" s="57"/>
      <c r="M679" s="57"/>
      <c r="N679" s="57"/>
      <c r="O679" s="57"/>
      <c r="P679" s="57"/>
      <c r="Q679" s="57"/>
      <c r="R679" s="2230"/>
      <c r="S679" s="256"/>
    </row>
    <row r="680" spans="1:19">
      <c r="A680" s="256"/>
      <c r="B680" s="57"/>
      <c r="C680" s="57"/>
      <c r="D680" s="57"/>
      <c r="E680" s="57"/>
      <c r="F680" s="57"/>
      <c r="G680" s="57"/>
      <c r="H680" s="57"/>
      <c r="I680" s="57"/>
      <c r="J680" s="57"/>
      <c r="K680" s="57"/>
      <c r="L680" s="57"/>
      <c r="M680" s="57"/>
      <c r="N680" s="57"/>
      <c r="O680" s="57"/>
      <c r="P680" s="57"/>
      <c r="Q680" s="57"/>
      <c r="R680" s="2230"/>
      <c r="S680" s="256"/>
    </row>
    <row r="681" spans="1:19">
      <c r="A681" s="256"/>
      <c r="B681" s="57"/>
      <c r="C681" s="57"/>
      <c r="D681" s="57"/>
      <c r="E681" s="57"/>
      <c r="F681" s="57"/>
      <c r="G681" s="57"/>
      <c r="H681" s="57"/>
      <c r="I681" s="57"/>
      <c r="J681" s="57"/>
      <c r="K681" s="57"/>
      <c r="L681" s="57"/>
      <c r="M681" s="57"/>
      <c r="N681" s="57"/>
      <c r="O681" s="57"/>
      <c r="P681" s="57"/>
      <c r="Q681" s="57"/>
      <c r="R681" s="2230"/>
      <c r="S681" s="256"/>
    </row>
    <row r="682" spans="1:19">
      <c r="A682" s="256"/>
      <c r="B682" s="57"/>
      <c r="C682" s="57"/>
      <c r="D682" s="57"/>
      <c r="E682" s="57"/>
      <c r="F682" s="57"/>
      <c r="G682" s="57"/>
      <c r="H682" s="57"/>
      <c r="I682" s="57"/>
      <c r="J682" s="57"/>
      <c r="K682" s="57"/>
      <c r="L682" s="57"/>
      <c r="M682" s="57"/>
      <c r="N682" s="57"/>
      <c r="O682" s="57"/>
      <c r="P682" s="57"/>
      <c r="Q682" s="57"/>
      <c r="R682" s="223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1" customWidth="1"/>
    <col min="2" max="2" width="13.25" style="2977" customWidth="1"/>
    <col min="3" max="3" width="15.625" style="2977" customWidth="1"/>
    <col min="4" max="4" width="9.375" style="2977" bestFit="1" customWidth="1"/>
    <col min="5" max="5" width="13.5" style="2977" customWidth="1"/>
    <col min="6" max="6" width="9" style="2977"/>
    <col min="7" max="7" width="9.375" style="2977" bestFit="1" customWidth="1"/>
    <col min="8" max="9" width="9" style="2977"/>
    <col min="10" max="10" width="9.375" style="2977" bestFit="1" customWidth="1"/>
    <col min="11" max="11" width="4" style="2971" customWidth="1"/>
    <col min="12" max="12" width="5.125" style="2977" customWidth="1"/>
    <col min="13" max="13" width="13.75" style="2977" customWidth="1"/>
    <col min="14" max="256" width="9" style="2977"/>
    <col min="257" max="257" width="4.875" style="2969" customWidth="1"/>
    <col min="258" max="258" width="13.25" style="2969" customWidth="1"/>
    <col min="259" max="259" width="15.625" style="2969" customWidth="1"/>
    <col min="260" max="260" width="9.375" style="2969" bestFit="1" customWidth="1"/>
    <col min="261" max="261" width="13.5" style="2969" customWidth="1"/>
    <col min="262" max="262" width="9" style="2969"/>
    <col min="263" max="263" width="9.375" style="2969" bestFit="1" customWidth="1"/>
    <col min="264" max="265" width="9" style="2969"/>
    <col min="266" max="266" width="9.375" style="2969" bestFit="1" customWidth="1"/>
    <col min="267" max="267" width="4" style="2969" customWidth="1"/>
    <col min="268" max="268" width="5.125" style="2969" customWidth="1"/>
    <col min="269" max="269" width="13.75" style="2969" customWidth="1"/>
    <col min="270" max="512" width="9" style="2969"/>
    <col min="513" max="513" width="4.875" style="2969" customWidth="1"/>
    <col min="514" max="514" width="13.25" style="2969" customWidth="1"/>
    <col min="515" max="515" width="15.625" style="2969" customWidth="1"/>
    <col min="516" max="516" width="9.375" style="2969" bestFit="1" customWidth="1"/>
    <col min="517" max="517" width="13.5" style="2969" customWidth="1"/>
    <col min="518" max="518" width="9" style="2969"/>
    <col min="519" max="519" width="9.375" style="2969" bestFit="1" customWidth="1"/>
    <col min="520" max="521" width="9" style="2969"/>
    <col min="522" max="522" width="9.375" style="2969" bestFit="1" customWidth="1"/>
    <col min="523" max="523" width="4" style="2969" customWidth="1"/>
    <col min="524" max="524" width="5.125" style="2969" customWidth="1"/>
    <col min="525" max="525" width="13.75" style="2969" customWidth="1"/>
    <col min="526" max="768" width="9" style="2969"/>
    <col min="769" max="769" width="4.875" style="2969" customWidth="1"/>
    <col min="770" max="770" width="13.25" style="2969" customWidth="1"/>
    <col min="771" max="771" width="15.625" style="2969" customWidth="1"/>
    <col min="772" max="772" width="9.375" style="2969" bestFit="1" customWidth="1"/>
    <col min="773" max="773" width="13.5" style="2969" customWidth="1"/>
    <col min="774" max="774" width="9" style="2969"/>
    <col min="775" max="775" width="9.375" style="2969" bestFit="1" customWidth="1"/>
    <col min="776" max="777" width="9" style="2969"/>
    <col min="778" max="778" width="9.375" style="2969" bestFit="1" customWidth="1"/>
    <col min="779" max="779" width="4" style="2969" customWidth="1"/>
    <col min="780" max="780" width="5.125" style="2969" customWidth="1"/>
    <col min="781" max="781" width="13.75" style="2969" customWidth="1"/>
    <col min="782" max="1024" width="9" style="2969"/>
    <col min="1025" max="1025" width="4.875" style="2969" customWidth="1"/>
    <col min="1026" max="1026" width="13.25" style="2969" customWidth="1"/>
    <col min="1027" max="1027" width="15.625" style="2969" customWidth="1"/>
    <col min="1028" max="1028" width="9.375" style="2969" bestFit="1" customWidth="1"/>
    <col min="1029" max="1029" width="13.5" style="2969" customWidth="1"/>
    <col min="1030" max="1030" width="9" style="2969"/>
    <col min="1031" max="1031" width="9.375" style="2969" bestFit="1" customWidth="1"/>
    <col min="1032" max="1033" width="9" style="2969"/>
    <col min="1034" max="1034" width="9.375" style="2969" bestFit="1" customWidth="1"/>
    <col min="1035" max="1035" width="4" style="2969" customWidth="1"/>
    <col min="1036" max="1036" width="5.125" style="2969" customWidth="1"/>
    <col min="1037" max="1037" width="13.75" style="2969" customWidth="1"/>
    <col min="1038" max="1280" width="9" style="2969"/>
    <col min="1281" max="1281" width="4.875" style="2969" customWidth="1"/>
    <col min="1282" max="1282" width="13.25" style="2969" customWidth="1"/>
    <col min="1283" max="1283" width="15.625" style="2969" customWidth="1"/>
    <col min="1284" max="1284" width="9.375" style="2969" bestFit="1" customWidth="1"/>
    <col min="1285" max="1285" width="13.5" style="2969" customWidth="1"/>
    <col min="1286" max="1286" width="9" style="2969"/>
    <col min="1287" max="1287" width="9.375" style="2969" bestFit="1" customWidth="1"/>
    <col min="1288" max="1289" width="9" style="2969"/>
    <col min="1290" max="1290" width="9.375" style="2969" bestFit="1" customWidth="1"/>
    <col min="1291" max="1291" width="4" style="2969" customWidth="1"/>
    <col min="1292" max="1292" width="5.125" style="2969" customWidth="1"/>
    <col min="1293" max="1293" width="13.75" style="2969" customWidth="1"/>
    <col min="1294" max="1536" width="9" style="2969"/>
    <col min="1537" max="1537" width="4.875" style="2969" customWidth="1"/>
    <col min="1538" max="1538" width="13.25" style="2969" customWidth="1"/>
    <col min="1539" max="1539" width="15.625" style="2969" customWidth="1"/>
    <col min="1540" max="1540" width="9.375" style="2969" bestFit="1" customWidth="1"/>
    <col min="1541" max="1541" width="13.5" style="2969" customWidth="1"/>
    <col min="1542" max="1542" width="9" style="2969"/>
    <col min="1543" max="1543" width="9.375" style="2969" bestFit="1" customWidth="1"/>
    <col min="1544" max="1545" width="9" style="2969"/>
    <col min="1546" max="1546" width="9.375" style="2969" bestFit="1" customWidth="1"/>
    <col min="1547" max="1547" width="4" style="2969" customWidth="1"/>
    <col min="1548" max="1548" width="5.125" style="2969" customWidth="1"/>
    <col min="1549" max="1549" width="13.75" style="2969" customWidth="1"/>
    <col min="1550" max="1792" width="9" style="2969"/>
    <col min="1793" max="1793" width="4.875" style="2969" customWidth="1"/>
    <col min="1794" max="1794" width="13.25" style="2969" customWidth="1"/>
    <col min="1795" max="1795" width="15.625" style="2969" customWidth="1"/>
    <col min="1796" max="1796" width="9.375" style="2969" bestFit="1" customWidth="1"/>
    <col min="1797" max="1797" width="13.5" style="2969" customWidth="1"/>
    <col min="1798" max="1798" width="9" style="2969"/>
    <col min="1799" max="1799" width="9.375" style="2969" bestFit="1" customWidth="1"/>
    <col min="1800" max="1801" width="9" style="2969"/>
    <col min="1802" max="1802" width="9.375" style="2969" bestFit="1" customWidth="1"/>
    <col min="1803" max="1803" width="4" style="2969" customWidth="1"/>
    <col min="1804" max="1804" width="5.125" style="2969" customWidth="1"/>
    <col min="1805" max="1805" width="13.75" style="2969" customWidth="1"/>
    <col min="1806" max="2048" width="9" style="2969"/>
    <col min="2049" max="2049" width="4.875" style="2969" customWidth="1"/>
    <col min="2050" max="2050" width="13.25" style="2969" customWidth="1"/>
    <col min="2051" max="2051" width="15.625" style="2969" customWidth="1"/>
    <col min="2052" max="2052" width="9.375" style="2969" bestFit="1" customWidth="1"/>
    <col min="2053" max="2053" width="13.5" style="2969" customWidth="1"/>
    <col min="2054" max="2054" width="9" style="2969"/>
    <col min="2055" max="2055" width="9.375" style="2969" bestFit="1" customWidth="1"/>
    <col min="2056" max="2057" width="9" style="2969"/>
    <col min="2058" max="2058" width="9.375" style="2969" bestFit="1" customWidth="1"/>
    <col min="2059" max="2059" width="4" style="2969" customWidth="1"/>
    <col min="2060" max="2060" width="5.125" style="2969" customWidth="1"/>
    <col min="2061" max="2061" width="13.75" style="2969" customWidth="1"/>
    <col min="2062" max="2304" width="9" style="2969"/>
    <col min="2305" max="2305" width="4.875" style="2969" customWidth="1"/>
    <col min="2306" max="2306" width="13.25" style="2969" customWidth="1"/>
    <col min="2307" max="2307" width="15.625" style="2969" customWidth="1"/>
    <col min="2308" max="2308" width="9.375" style="2969" bestFit="1" customWidth="1"/>
    <col min="2309" max="2309" width="13.5" style="2969" customWidth="1"/>
    <col min="2310" max="2310" width="9" style="2969"/>
    <col min="2311" max="2311" width="9.375" style="2969" bestFit="1" customWidth="1"/>
    <col min="2312" max="2313" width="9" style="2969"/>
    <col min="2314" max="2314" width="9.375" style="2969" bestFit="1" customWidth="1"/>
    <col min="2315" max="2315" width="4" style="2969" customWidth="1"/>
    <col min="2316" max="2316" width="5.125" style="2969" customWidth="1"/>
    <col min="2317" max="2317" width="13.75" style="2969" customWidth="1"/>
    <col min="2318" max="2560" width="9" style="2969"/>
    <col min="2561" max="2561" width="4.875" style="2969" customWidth="1"/>
    <col min="2562" max="2562" width="13.25" style="2969" customWidth="1"/>
    <col min="2563" max="2563" width="15.625" style="2969" customWidth="1"/>
    <col min="2564" max="2564" width="9.375" style="2969" bestFit="1" customWidth="1"/>
    <col min="2565" max="2565" width="13.5" style="2969" customWidth="1"/>
    <col min="2566" max="2566" width="9" style="2969"/>
    <col min="2567" max="2567" width="9.375" style="2969" bestFit="1" customWidth="1"/>
    <col min="2568" max="2569" width="9" style="2969"/>
    <col min="2570" max="2570" width="9.375" style="2969" bestFit="1" customWidth="1"/>
    <col min="2571" max="2571" width="4" style="2969" customWidth="1"/>
    <col min="2572" max="2572" width="5.125" style="2969" customWidth="1"/>
    <col min="2573" max="2573" width="13.75" style="2969" customWidth="1"/>
    <col min="2574" max="2816" width="9" style="2969"/>
    <col min="2817" max="2817" width="4.875" style="2969" customWidth="1"/>
    <col min="2818" max="2818" width="13.25" style="2969" customWidth="1"/>
    <col min="2819" max="2819" width="15.625" style="2969" customWidth="1"/>
    <col min="2820" max="2820" width="9.375" style="2969" bestFit="1" customWidth="1"/>
    <col min="2821" max="2821" width="13.5" style="2969" customWidth="1"/>
    <col min="2822" max="2822" width="9" style="2969"/>
    <col min="2823" max="2823" width="9.375" style="2969" bestFit="1" customWidth="1"/>
    <col min="2824" max="2825" width="9" style="2969"/>
    <col min="2826" max="2826" width="9.375" style="2969" bestFit="1" customWidth="1"/>
    <col min="2827" max="2827" width="4" style="2969" customWidth="1"/>
    <col min="2828" max="2828" width="5.125" style="2969" customWidth="1"/>
    <col min="2829" max="2829" width="13.75" style="2969" customWidth="1"/>
    <col min="2830" max="3072" width="9" style="2969"/>
    <col min="3073" max="3073" width="4.875" style="2969" customWidth="1"/>
    <col min="3074" max="3074" width="13.25" style="2969" customWidth="1"/>
    <col min="3075" max="3075" width="15.625" style="2969" customWidth="1"/>
    <col min="3076" max="3076" width="9.375" style="2969" bestFit="1" customWidth="1"/>
    <col min="3077" max="3077" width="13.5" style="2969" customWidth="1"/>
    <col min="3078" max="3078" width="9" style="2969"/>
    <col min="3079" max="3079" width="9.375" style="2969" bestFit="1" customWidth="1"/>
    <col min="3080" max="3081" width="9" style="2969"/>
    <col min="3082" max="3082" width="9.375" style="2969" bestFit="1" customWidth="1"/>
    <col min="3083" max="3083" width="4" style="2969" customWidth="1"/>
    <col min="3084" max="3084" width="5.125" style="2969" customWidth="1"/>
    <col min="3085" max="3085" width="13.75" style="2969" customWidth="1"/>
    <col min="3086" max="3328" width="9" style="2969"/>
    <col min="3329" max="3329" width="4.875" style="2969" customWidth="1"/>
    <col min="3330" max="3330" width="13.25" style="2969" customWidth="1"/>
    <col min="3331" max="3331" width="15.625" style="2969" customWidth="1"/>
    <col min="3332" max="3332" width="9.375" style="2969" bestFit="1" customWidth="1"/>
    <col min="3333" max="3333" width="13.5" style="2969" customWidth="1"/>
    <col min="3334" max="3334" width="9" style="2969"/>
    <col min="3335" max="3335" width="9.375" style="2969" bestFit="1" customWidth="1"/>
    <col min="3336" max="3337" width="9" style="2969"/>
    <col min="3338" max="3338" width="9.375" style="2969" bestFit="1" customWidth="1"/>
    <col min="3339" max="3339" width="4" style="2969" customWidth="1"/>
    <col min="3340" max="3340" width="5.125" style="2969" customWidth="1"/>
    <col min="3341" max="3341" width="13.75" style="2969" customWidth="1"/>
    <col min="3342" max="3584" width="9" style="2969"/>
    <col min="3585" max="3585" width="4.875" style="2969" customWidth="1"/>
    <col min="3586" max="3586" width="13.25" style="2969" customWidth="1"/>
    <col min="3587" max="3587" width="15.625" style="2969" customWidth="1"/>
    <col min="3588" max="3588" width="9.375" style="2969" bestFit="1" customWidth="1"/>
    <col min="3589" max="3589" width="13.5" style="2969" customWidth="1"/>
    <col min="3590" max="3590" width="9" style="2969"/>
    <col min="3591" max="3591" width="9.375" style="2969" bestFit="1" customWidth="1"/>
    <col min="3592" max="3593" width="9" style="2969"/>
    <col min="3594" max="3594" width="9.375" style="2969" bestFit="1" customWidth="1"/>
    <col min="3595" max="3595" width="4" style="2969" customWidth="1"/>
    <col min="3596" max="3596" width="5.125" style="2969" customWidth="1"/>
    <col min="3597" max="3597" width="13.75" style="2969" customWidth="1"/>
    <col min="3598" max="3840" width="9" style="2969"/>
    <col min="3841" max="3841" width="4.875" style="2969" customWidth="1"/>
    <col min="3842" max="3842" width="13.25" style="2969" customWidth="1"/>
    <col min="3843" max="3843" width="15.625" style="2969" customWidth="1"/>
    <col min="3844" max="3844" width="9.375" style="2969" bestFit="1" customWidth="1"/>
    <col min="3845" max="3845" width="13.5" style="2969" customWidth="1"/>
    <col min="3846" max="3846" width="9" style="2969"/>
    <col min="3847" max="3847" width="9.375" style="2969" bestFit="1" customWidth="1"/>
    <col min="3848" max="3849" width="9" style="2969"/>
    <col min="3850" max="3850" width="9.375" style="2969" bestFit="1" customWidth="1"/>
    <col min="3851" max="3851" width="4" style="2969" customWidth="1"/>
    <col min="3852" max="3852" width="5.125" style="2969" customWidth="1"/>
    <col min="3853" max="3853" width="13.75" style="2969" customWidth="1"/>
    <col min="3854" max="4096" width="9" style="2969"/>
    <col min="4097" max="4097" width="4.875" style="2969" customWidth="1"/>
    <col min="4098" max="4098" width="13.25" style="2969" customWidth="1"/>
    <col min="4099" max="4099" width="15.625" style="2969" customWidth="1"/>
    <col min="4100" max="4100" width="9.375" style="2969" bestFit="1" customWidth="1"/>
    <col min="4101" max="4101" width="13.5" style="2969" customWidth="1"/>
    <col min="4102" max="4102" width="9" style="2969"/>
    <col min="4103" max="4103" width="9.375" style="2969" bestFit="1" customWidth="1"/>
    <col min="4104" max="4105" width="9" style="2969"/>
    <col min="4106" max="4106" width="9.375" style="2969" bestFit="1" customWidth="1"/>
    <col min="4107" max="4107" width="4" style="2969" customWidth="1"/>
    <col min="4108" max="4108" width="5.125" style="2969" customWidth="1"/>
    <col min="4109" max="4109" width="13.75" style="2969" customWidth="1"/>
    <col min="4110" max="4352" width="9" style="2969"/>
    <col min="4353" max="4353" width="4.875" style="2969" customWidth="1"/>
    <col min="4354" max="4354" width="13.25" style="2969" customWidth="1"/>
    <col min="4355" max="4355" width="15.625" style="2969" customWidth="1"/>
    <col min="4356" max="4356" width="9.375" style="2969" bestFit="1" customWidth="1"/>
    <col min="4357" max="4357" width="13.5" style="2969" customWidth="1"/>
    <col min="4358" max="4358" width="9" style="2969"/>
    <col min="4359" max="4359" width="9.375" style="2969" bestFit="1" customWidth="1"/>
    <col min="4360" max="4361" width="9" style="2969"/>
    <col min="4362" max="4362" width="9.375" style="2969" bestFit="1" customWidth="1"/>
    <col min="4363" max="4363" width="4" style="2969" customWidth="1"/>
    <col min="4364" max="4364" width="5.125" style="2969" customWidth="1"/>
    <col min="4365" max="4365" width="13.75" style="2969" customWidth="1"/>
    <col min="4366" max="4608" width="9" style="2969"/>
    <col min="4609" max="4609" width="4.875" style="2969" customWidth="1"/>
    <col min="4610" max="4610" width="13.25" style="2969" customWidth="1"/>
    <col min="4611" max="4611" width="15.625" style="2969" customWidth="1"/>
    <col min="4612" max="4612" width="9.375" style="2969" bestFit="1" customWidth="1"/>
    <col min="4613" max="4613" width="13.5" style="2969" customWidth="1"/>
    <col min="4614" max="4614" width="9" style="2969"/>
    <col min="4615" max="4615" width="9.375" style="2969" bestFit="1" customWidth="1"/>
    <col min="4616" max="4617" width="9" style="2969"/>
    <col min="4618" max="4618" width="9.375" style="2969" bestFit="1" customWidth="1"/>
    <col min="4619" max="4619" width="4" style="2969" customWidth="1"/>
    <col min="4620" max="4620" width="5.125" style="2969" customWidth="1"/>
    <col min="4621" max="4621" width="13.75" style="2969" customWidth="1"/>
    <col min="4622" max="4864" width="9" style="2969"/>
    <col min="4865" max="4865" width="4.875" style="2969" customWidth="1"/>
    <col min="4866" max="4866" width="13.25" style="2969" customWidth="1"/>
    <col min="4867" max="4867" width="15.625" style="2969" customWidth="1"/>
    <col min="4868" max="4868" width="9.375" style="2969" bestFit="1" customWidth="1"/>
    <col min="4869" max="4869" width="13.5" style="2969" customWidth="1"/>
    <col min="4870" max="4870" width="9" style="2969"/>
    <col min="4871" max="4871" width="9.375" style="2969" bestFit="1" customWidth="1"/>
    <col min="4872" max="4873" width="9" style="2969"/>
    <col min="4874" max="4874" width="9.375" style="2969" bestFit="1" customWidth="1"/>
    <col min="4875" max="4875" width="4" style="2969" customWidth="1"/>
    <col min="4876" max="4876" width="5.125" style="2969" customWidth="1"/>
    <col min="4877" max="4877" width="13.75" style="2969" customWidth="1"/>
    <col min="4878" max="5120" width="9" style="2969"/>
    <col min="5121" max="5121" width="4.875" style="2969" customWidth="1"/>
    <col min="5122" max="5122" width="13.25" style="2969" customWidth="1"/>
    <col min="5123" max="5123" width="15.625" style="2969" customWidth="1"/>
    <col min="5124" max="5124" width="9.375" style="2969" bestFit="1" customWidth="1"/>
    <col min="5125" max="5125" width="13.5" style="2969" customWidth="1"/>
    <col min="5126" max="5126" width="9" style="2969"/>
    <col min="5127" max="5127" width="9.375" style="2969" bestFit="1" customWidth="1"/>
    <col min="5128" max="5129" width="9" style="2969"/>
    <col min="5130" max="5130" width="9.375" style="2969" bestFit="1" customWidth="1"/>
    <col min="5131" max="5131" width="4" style="2969" customWidth="1"/>
    <col min="5132" max="5132" width="5.125" style="2969" customWidth="1"/>
    <col min="5133" max="5133" width="13.75" style="2969" customWidth="1"/>
    <col min="5134" max="5376" width="9" style="2969"/>
    <col min="5377" max="5377" width="4.875" style="2969" customWidth="1"/>
    <col min="5378" max="5378" width="13.25" style="2969" customWidth="1"/>
    <col min="5379" max="5379" width="15.625" style="2969" customWidth="1"/>
    <col min="5380" max="5380" width="9.375" style="2969" bestFit="1" customWidth="1"/>
    <col min="5381" max="5381" width="13.5" style="2969" customWidth="1"/>
    <col min="5382" max="5382" width="9" style="2969"/>
    <col min="5383" max="5383" width="9.375" style="2969" bestFit="1" customWidth="1"/>
    <col min="5384" max="5385" width="9" style="2969"/>
    <col min="5386" max="5386" width="9.375" style="2969" bestFit="1" customWidth="1"/>
    <col min="5387" max="5387" width="4" style="2969" customWidth="1"/>
    <col min="5388" max="5388" width="5.125" style="2969" customWidth="1"/>
    <col min="5389" max="5389" width="13.75" style="2969" customWidth="1"/>
    <col min="5390" max="5632" width="9" style="2969"/>
    <col min="5633" max="5633" width="4.875" style="2969" customWidth="1"/>
    <col min="5634" max="5634" width="13.25" style="2969" customWidth="1"/>
    <col min="5635" max="5635" width="15.625" style="2969" customWidth="1"/>
    <col min="5636" max="5636" width="9.375" style="2969" bestFit="1" customWidth="1"/>
    <col min="5637" max="5637" width="13.5" style="2969" customWidth="1"/>
    <col min="5638" max="5638" width="9" style="2969"/>
    <col min="5639" max="5639" width="9.375" style="2969" bestFit="1" customWidth="1"/>
    <col min="5640" max="5641" width="9" style="2969"/>
    <col min="5642" max="5642" width="9.375" style="2969" bestFit="1" customWidth="1"/>
    <col min="5643" max="5643" width="4" style="2969" customWidth="1"/>
    <col min="5644" max="5644" width="5.125" style="2969" customWidth="1"/>
    <col min="5645" max="5645" width="13.75" style="2969" customWidth="1"/>
    <col min="5646" max="5888" width="9" style="2969"/>
    <col min="5889" max="5889" width="4.875" style="2969" customWidth="1"/>
    <col min="5890" max="5890" width="13.25" style="2969" customWidth="1"/>
    <col min="5891" max="5891" width="15.625" style="2969" customWidth="1"/>
    <col min="5892" max="5892" width="9.375" style="2969" bestFit="1" customWidth="1"/>
    <col min="5893" max="5893" width="13.5" style="2969" customWidth="1"/>
    <col min="5894" max="5894" width="9" style="2969"/>
    <col min="5895" max="5895" width="9.375" style="2969" bestFit="1" customWidth="1"/>
    <col min="5896" max="5897" width="9" style="2969"/>
    <col min="5898" max="5898" width="9.375" style="2969" bestFit="1" customWidth="1"/>
    <col min="5899" max="5899" width="4" style="2969" customWidth="1"/>
    <col min="5900" max="5900" width="5.125" style="2969" customWidth="1"/>
    <col min="5901" max="5901" width="13.75" style="2969" customWidth="1"/>
    <col min="5902" max="6144" width="9" style="2969"/>
    <col min="6145" max="6145" width="4.875" style="2969" customWidth="1"/>
    <col min="6146" max="6146" width="13.25" style="2969" customWidth="1"/>
    <col min="6147" max="6147" width="15.625" style="2969" customWidth="1"/>
    <col min="6148" max="6148" width="9.375" style="2969" bestFit="1" customWidth="1"/>
    <col min="6149" max="6149" width="13.5" style="2969" customWidth="1"/>
    <col min="6150" max="6150" width="9" style="2969"/>
    <col min="6151" max="6151" width="9.375" style="2969" bestFit="1" customWidth="1"/>
    <col min="6152" max="6153" width="9" style="2969"/>
    <col min="6154" max="6154" width="9.375" style="2969" bestFit="1" customWidth="1"/>
    <col min="6155" max="6155" width="4" style="2969" customWidth="1"/>
    <col min="6156" max="6156" width="5.125" style="2969" customWidth="1"/>
    <col min="6157" max="6157" width="13.75" style="2969" customWidth="1"/>
    <col min="6158" max="6400" width="9" style="2969"/>
    <col min="6401" max="6401" width="4.875" style="2969" customWidth="1"/>
    <col min="6402" max="6402" width="13.25" style="2969" customWidth="1"/>
    <col min="6403" max="6403" width="15.625" style="2969" customWidth="1"/>
    <col min="6404" max="6404" width="9.375" style="2969" bestFit="1" customWidth="1"/>
    <col min="6405" max="6405" width="13.5" style="2969" customWidth="1"/>
    <col min="6406" max="6406" width="9" style="2969"/>
    <col min="6407" max="6407" width="9.375" style="2969" bestFit="1" customWidth="1"/>
    <col min="6408" max="6409" width="9" style="2969"/>
    <col min="6410" max="6410" width="9.375" style="2969" bestFit="1" customWidth="1"/>
    <col min="6411" max="6411" width="4" style="2969" customWidth="1"/>
    <col min="6412" max="6412" width="5.125" style="2969" customWidth="1"/>
    <col min="6413" max="6413" width="13.75" style="2969" customWidth="1"/>
    <col min="6414" max="6656" width="9" style="2969"/>
    <col min="6657" max="6657" width="4.875" style="2969" customWidth="1"/>
    <col min="6658" max="6658" width="13.25" style="2969" customWidth="1"/>
    <col min="6659" max="6659" width="15.625" style="2969" customWidth="1"/>
    <col min="6660" max="6660" width="9.375" style="2969" bestFit="1" customWidth="1"/>
    <col min="6661" max="6661" width="13.5" style="2969" customWidth="1"/>
    <col min="6662" max="6662" width="9" style="2969"/>
    <col min="6663" max="6663" width="9.375" style="2969" bestFit="1" customWidth="1"/>
    <col min="6664" max="6665" width="9" style="2969"/>
    <col min="6666" max="6666" width="9.375" style="2969" bestFit="1" customWidth="1"/>
    <col min="6667" max="6667" width="4" style="2969" customWidth="1"/>
    <col min="6668" max="6668" width="5.125" style="2969" customWidth="1"/>
    <col min="6669" max="6669" width="13.75" style="2969" customWidth="1"/>
    <col min="6670" max="6912" width="9" style="2969"/>
    <col min="6913" max="6913" width="4.875" style="2969" customWidth="1"/>
    <col min="6914" max="6914" width="13.25" style="2969" customWidth="1"/>
    <col min="6915" max="6915" width="15.625" style="2969" customWidth="1"/>
    <col min="6916" max="6916" width="9.375" style="2969" bestFit="1" customWidth="1"/>
    <col min="6917" max="6917" width="13.5" style="2969" customWidth="1"/>
    <col min="6918" max="6918" width="9" style="2969"/>
    <col min="6919" max="6919" width="9.375" style="2969" bestFit="1" customWidth="1"/>
    <col min="6920" max="6921" width="9" style="2969"/>
    <col min="6922" max="6922" width="9.375" style="2969" bestFit="1" customWidth="1"/>
    <col min="6923" max="6923" width="4" style="2969" customWidth="1"/>
    <col min="6924" max="6924" width="5.125" style="2969" customWidth="1"/>
    <col min="6925" max="6925" width="13.75" style="2969" customWidth="1"/>
    <col min="6926" max="7168" width="9" style="2969"/>
    <col min="7169" max="7169" width="4.875" style="2969" customWidth="1"/>
    <col min="7170" max="7170" width="13.25" style="2969" customWidth="1"/>
    <col min="7171" max="7171" width="15.625" style="2969" customWidth="1"/>
    <col min="7172" max="7172" width="9.375" style="2969" bestFit="1" customWidth="1"/>
    <col min="7173" max="7173" width="13.5" style="2969" customWidth="1"/>
    <col min="7174" max="7174" width="9" style="2969"/>
    <col min="7175" max="7175" width="9.375" style="2969" bestFit="1" customWidth="1"/>
    <col min="7176" max="7177" width="9" style="2969"/>
    <col min="7178" max="7178" width="9.375" style="2969" bestFit="1" customWidth="1"/>
    <col min="7179" max="7179" width="4" style="2969" customWidth="1"/>
    <col min="7180" max="7180" width="5.125" style="2969" customWidth="1"/>
    <col min="7181" max="7181" width="13.75" style="2969" customWidth="1"/>
    <col min="7182" max="7424" width="9" style="2969"/>
    <col min="7425" max="7425" width="4.875" style="2969" customWidth="1"/>
    <col min="7426" max="7426" width="13.25" style="2969" customWidth="1"/>
    <col min="7427" max="7427" width="15.625" style="2969" customWidth="1"/>
    <col min="7428" max="7428" width="9.375" style="2969" bestFit="1" customWidth="1"/>
    <col min="7429" max="7429" width="13.5" style="2969" customWidth="1"/>
    <col min="7430" max="7430" width="9" style="2969"/>
    <col min="7431" max="7431" width="9.375" style="2969" bestFit="1" customWidth="1"/>
    <col min="7432" max="7433" width="9" style="2969"/>
    <col min="7434" max="7434" width="9.375" style="2969" bestFit="1" customWidth="1"/>
    <col min="7435" max="7435" width="4" style="2969" customWidth="1"/>
    <col min="7436" max="7436" width="5.125" style="2969" customWidth="1"/>
    <col min="7437" max="7437" width="13.75" style="2969" customWidth="1"/>
    <col min="7438" max="7680" width="9" style="2969"/>
    <col min="7681" max="7681" width="4.875" style="2969" customWidth="1"/>
    <col min="7682" max="7682" width="13.25" style="2969" customWidth="1"/>
    <col min="7683" max="7683" width="15.625" style="2969" customWidth="1"/>
    <col min="7684" max="7684" width="9.375" style="2969" bestFit="1" customWidth="1"/>
    <col min="7685" max="7685" width="13.5" style="2969" customWidth="1"/>
    <col min="7686" max="7686" width="9" style="2969"/>
    <col min="7687" max="7687" width="9.375" style="2969" bestFit="1" customWidth="1"/>
    <col min="7688" max="7689" width="9" style="2969"/>
    <col min="7690" max="7690" width="9.375" style="2969" bestFit="1" customWidth="1"/>
    <col min="7691" max="7691" width="4" style="2969" customWidth="1"/>
    <col min="7692" max="7692" width="5.125" style="2969" customWidth="1"/>
    <col min="7693" max="7693" width="13.75" style="2969" customWidth="1"/>
    <col min="7694" max="7936" width="9" style="2969"/>
    <col min="7937" max="7937" width="4.875" style="2969" customWidth="1"/>
    <col min="7938" max="7938" width="13.25" style="2969" customWidth="1"/>
    <col min="7939" max="7939" width="15.625" style="2969" customWidth="1"/>
    <col min="7940" max="7940" width="9.375" style="2969" bestFit="1" customWidth="1"/>
    <col min="7941" max="7941" width="13.5" style="2969" customWidth="1"/>
    <col min="7942" max="7942" width="9" style="2969"/>
    <col min="7943" max="7943" width="9.375" style="2969" bestFit="1" customWidth="1"/>
    <col min="7944" max="7945" width="9" style="2969"/>
    <col min="7946" max="7946" width="9.375" style="2969" bestFit="1" customWidth="1"/>
    <col min="7947" max="7947" width="4" style="2969" customWidth="1"/>
    <col min="7948" max="7948" width="5.125" style="2969" customWidth="1"/>
    <col min="7949" max="7949" width="13.75" style="2969" customWidth="1"/>
    <col min="7950" max="8192" width="9" style="2969"/>
    <col min="8193" max="8193" width="4.875" style="2969" customWidth="1"/>
    <col min="8194" max="8194" width="13.25" style="2969" customWidth="1"/>
    <col min="8195" max="8195" width="15.625" style="2969" customWidth="1"/>
    <col min="8196" max="8196" width="9.375" style="2969" bestFit="1" customWidth="1"/>
    <col min="8197" max="8197" width="13.5" style="2969" customWidth="1"/>
    <col min="8198" max="8198" width="9" style="2969"/>
    <col min="8199" max="8199" width="9.375" style="2969" bestFit="1" customWidth="1"/>
    <col min="8200" max="8201" width="9" style="2969"/>
    <col min="8202" max="8202" width="9.375" style="2969" bestFit="1" customWidth="1"/>
    <col min="8203" max="8203" width="4" style="2969" customWidth="1"/>
    <col min="8204" max="8204" width="5.125" style="2969" customWidth="1"/>
    <col min="8205" max="8205" width="13.75" style="2969" customWidth="1"/>
    <col min="8206" max="8448" width="9" style="2969"/>
    <col min="8449" max="8449" width="4.875" style="2969" customWidth="1"/>
    <col min="8450" max="8450" width="13.25" style="2969" customWidth="1"/>
    <col min="8451" max="8451" width="15.625" style="2969" customWidth="1"/>
    <col min="8452" max="8452" width="9.375" style="2969" bestFit="1" customWidth="1"/>
    <col min="8453" max="8453" width="13.5" style="2969" customWidth="1"/>
    <col min="8454" max="8454" width="9" style="2969"/>
    <col min="8455" max="8455" width="9.375" style="2969" bestFit="1" customWidth="1"/>
    <col min="8456" max="8457" width="9" style="2969"/>
    <col min="8458" max="8458" width="9.375" style="2969" bestFit="1" customWidth="1"/>
    <col min="8459" max="8459" width="4" style="2969" customWidth="1"/>
    <col min="8460" max="8460" width="5.125" style="2969" customWidth="1"/>
    <col min="8461" max="8461" width="13.75" style="2969" customWidth="1"/>
    <col min="8462" max="8704" width="9" style="2969"/>
    <col min="8705" max="8705" width="4.875" style="2969" customWidth="1"/>
    <col min="8706" max="8706" width="13.25" style="2969" customWidth="1"/>
    <col min="8707" max="8707" width="15.625" style="2969" customWidth="1"/>
    <col min="8708" max="8708" width="9.375" style="2969" bestFit="1" customWidth="1"/>
    <col min="8709" max="8709" width="13.5" style="2969" customWidth="1"/>
    <col min="8710" max="8710" width="9" style="2969"/>
    <col min="8711" max="8711" width="9.375" style="2969" bestFit="1" customWidth="1"/>
    <col min="8712" max="8713" width="9" style="2969"/>
    <col min="8714" max="8714" width="9.375" style="2969" bestFit="1" customWidth="1"/>
    <col min="8715" max="8715" width="4" style="2969" customWidth="1"/>
    <col min="8716" max="8716" width="5.125" style="2969" customWidth="1"/>
    <col min="8717" max="8717" width="13.75" style="2969" customWidth="1"/>
    <col min="8718" max="8960" width="9" style="2969"/>
    <col min="8961" max="8961" width="4.875" style="2969" customWidth="1"/>
    <col min="8962" max="8962" width="13.25" style="2969" customWidth="1"/>
    <col min="8963" max="8963" width="15.625" style="2969" customWidth="1"/>
    <col min="8964" max="8964" width="9.375" style="2969" bestFit="1" customWidth="1"/>
    <col min="8965" max="8965" width="13.5" style="2969" customWidth="1"/>
    <col min="8966" max="8966" width="9" style="2969"/>
    <col min="8967" max="8967" width="9.375" style="2969" bestFit="1" customWidth="1"/>
    <col min="8968" max="8969" width="9" style="2969"/>
    <col min="8970" max="8970" width="9.375" style="2969" bestFit="1" customWidth="1"/>
    <col min="8971" max="8971" width="4" style="2969" customWidth="1"/>
    <col min="8972" max="8972" width="5.125" style="2969" customWidth="1"/>
    <col min="8973" max="8973" width="13.75" style="2969" customWidth="1"/>
    <col min="8974" max="9216" width="9" style="2969"/>
    <col min="9217" max="9217" width="4.875" style="2969" customWidth="1"/>
    <col min="9218" max="9218" width="13.25" style="2969" customWidth="1"/>
    <col min="9219" max="9219" width="15.625" style="2969" customWidth="1"/>
    <col min="9220" max="9220" width="9.375" style="2969" bestFit="1" customWidth="1"/>
    <col min="9221" max="9221" width="13.5" style="2969" customWidth="1"/>
    <col min="9222" max="9222" width="9" style="2969"/>
    <col min="9223" max="9223" width="9.375" style="2969" bestFit="1" customWidth="1"/>
    <col min="9224" max="9225" width="9" style="2969"/>
    <col min="9226" max="9226" width="9.375" style="2969" bestFit="1" customWidth="1"/>
    <col min="9227" max="9227" width="4" style="2969" customWidth="1"/>
    <col min="9228" max="9228" width="5.125" style="2969" customWidth="1"/>
    <col min="9229" max="9229" width="13.75" style="2969" customWidth="1"/>
    <col min="9230" max="9472" width="9" style="2969"/>
    <col min="9473" max="9473" width="4.875" style="2969" customWidth="1"/>
    <col min="9474" max="9474" width="13.25" style="2969" customWidth="1"/>
    <col min="9475" max="9475" width="15.625" style="2969" customWidth="1"/>
    <col min="9476" max="9476" width="9.375" style="2969" bestFit="1" customWidth="1"/>
    <col min="9477" max="9477" width="13.5" style="2969" customWidth="1"/>
    <col min="9478" max="9478" width="9" style="2969"/>
    <col min="9479" max="9479" width="9.375" style="2969" bestFit="1" customWidth="1"/>
    <col min="9480" max="9481" width="9" style="2969"/>
    <col min="9482" max="9482" width="9.375" style="2969" bestFit="1" customWidth="1"/>
    <col min="9483" max="9483" width="4" style="2969" customWidth="1"/>
    <col min="9484" max="9484" width="5.125" style="2969" customWidth="1"/>
    <col min="9485" max="9485" width="13.75" style="2969" customWidth="1"/>
    <col min="9486" max="9728" width="9" style="2969"/>
    <col min="9729" max="9729" width="4.875" style="2969" customWidth="1"/>
    <col min="9730" max="9730" width="13.25" style="2969" customWidth="1"/>
    <col min="9731" max="9731" width="15.625" style="2969" customWidth="1"/>
    <col min="9732" max="9732" width="9.375" style="2969" bestFit="1" customWidth="1"/>
    <col min="9733" max="9733" width="13.5" style="2969" customWidth="1"/>
    <col min="9734" max="9734" width="9" style="2969"/>
    <col min="9735" max="9735" width="9.375" style="2969" bestFit="1" customWidth="1"/>
    <col min="9736" max="9737" width="9" style="2969"/>
    <col min="9738" max="9738" width="9.375" style="2969" bestFit="1" customWidth="1"/>
    <col min="9739" max="9739" width="4" style="2969" customWidth="1"/>
    <col min="9740" max="9740" width="5.125" style="2969" customWidth="1"/>
    <col min="9741" max="9741" width="13.75" style="2969" customWidth="1"/>
    <col min="9742" max="9984" width="9" style="2969"/>
    <col min="9985" max="9985" width="4.875" style="2969" customWidth="1"/>
    <col min="9986" max="9986" width="13.25" style="2969" customWidth="1"/>
    <col min="9987" max="9987" width="15.625" style="2969" customWidth="1"/>
    <col min="9988" max="9988" width="9.375" style="2969" bestFit="1" customWidth="1"/>
    <col min="9989" max="9989" width="13.5" style="2969" customWidth="1"/>
    <col min="9990" max="9990" width="9" style="2969"/>
    <col min="9991" max="9991" width="9.375" style="2969" bestFit="1" customWidth="1"/>
    <col min="9992" max="9993" width="9" style="2969"/>
    <col min="9994" max="9994" width="9.375" style="2969" bestFit="1" customWidth="1"/>
    <col min="9995" max="9995" width="4" style="2969" customWidth="1"/>
    <col min="9996" max="9996" width="5.125" style="2969" customWidth="1"/>
    <col min="9997" max="9997" width="13.75" style="2969" customWidth="1"/>
    <col min="9998" max="10240" width="9" style="2969"/>
    <col min="10241" max="10241" width="4.875" style="2969" customWidth="1"/>
    <col min="10242" max="10242" width="13.25" style="2969" customWidth="1"/>
    <col min="10243" max="10243" width="15.625" style="2969" customWidth="1"/>
    <col min="10244" max="10244" width="9.375" style="2969" bestFit="1" customWidth="1"/>
    <col min="10245" max="10245" width="13.5" style="2969" customWidth="1"/>
    <col min="10246" max="10246" width="9" style="2969"/>
    <col min="10247" max="10247" width="9.375" style="2969" bestFit="1" customWidth="1"/>
    <col min="10248" max="10249" width="9" style="2969"/>
    <col min="10250" max="10250" width="9.375" style="2969" bestFit="1" customWidth="1"/>
    <col min="10251" max="10251" width="4" style="2969" customWidth="1"/>
    <col min="10252" max="10252" width="5.125" style="2969" customWidth="1"/>
    <col min="10253" max="10253" width="13.75" style="2969" customWidth="1"/>
    <col min="10254" max="10496" width="9" style="2969"/>
    <col min="10497" max="10497" width="4.875" style="2969" customWidth="1"/>
    <col min="10498" max="10498" width="13.25" style="2969" customWidth="1"/>
    <col min="10499" max="10499" width="15.625" style="2969" customWidth="1"/>
    <col min="10500" max="10500" width="9.375" style="2969" bestFit="1" customWidth="1"/>
    <col min="10501" max="10501" width="13.5" style="2969" customWidth="1"/>
    <col min="10502" max="10502" width="9" style="2969"/>
    <col min="10503" max="10503" width="9.375" style="2969" bestFit="1" customWidth="1"/>
    <col min="10504" max="10505" width="9" style="2969"/>
    <col min="10506" max="10506" width="9.375" style="2969" bestFit="1" customWidth="1"/>
    <col min="10507" max="10507" width="4" style="2969" customWidth="1"/>
    <col min="10508" max="10508" width="5.125" style="2969" customWidth="1"/>
    <col min="10509" max="10509" width="13.75" style="2969" customWidth="1"/>
    <col min="10510" max="10752" width="9" style="2969"/>
    <col min="10753" max="10753" width="4.875" style="2969" customWidth="1"/>
    <col min="10754" max="10754" width="13.25" style="2969" customWidth="1"/>
    <col min="10755" max="10755" width="15.625" style="2969" customWidth="1"/>
    <col min="10756" max="10756" width="9.375" style="2969" bestFit="1" customWidth="1"/>
    <col min="10757" max="10757" width="13.5" style="2969" customWidth="1"/>
    <col min="10758" max="10758" width="9" style="2969"/>
    <col min="10759" max="10759" width="9.375" style="2969" bestFit="1" customWidth="1"/>
    <col min="10760" max="10761" width="9" style="2969"/>
    <col min="10762" max="10762" width="9.375" style="2969" bestFit="1" customWidth="1"/>
    <col min="10763" max="10763" width="4" style="2969" customWidth="1"/>
    <col min="10764" max="10764" width="5.125" style="2969" customWidth="1"/>
    <col min="10765" max="10765" width="13.75" style="2969" customWidth="1"/>
    <col min="10766" max="11008" width="9" style="2969"/>
    <col min="11009" max="11009" width="4.875" style="2969" customWidth="1"/>
    <col min="11010" max="11010" width="13.25" style="2969" customWidth="1"/>
    <col min="11011" max="11011" width="15.625" style="2969" customWidth="1"/>
    <col min="11012" max="11012" width="9.375" style="2969" bestFit="1" customWidth="1"/>
    <col min="11013" max="11013" width="13.5" style="2969" customWidth="1"/>
    <col min="11014" max="11014" width="9" style="2969"/>
    <col min="11015" max="11015" width="9.375" style="2969" bestFit="1" customWidth="1"/>
    <col min="11016" max="11017" width="9" style="2969"/>
    <col min="11018" max="11018" width="9.375" style="2969" bestFit="1" customWidth="1"/>
    <col min="11019" max="11019" width="4" style="2969" customWidth="1"/>
    <col min="11020" max="11020" width="5.125" style="2969" customWidth="1"/>
    <col min="11021" max="11021" width="13.75" style="2969" customWidth="1"/>
    <col min="11022" max="11264" width="9" style="2969"/>
    <col min="11265" max="11265" width="4.875" style="2969" customWidth="1"/>
    <col min="11266" max="11266" width="13.25" style="2969" customWidth="1"/>
    <col min="11267" max="11267" width="15.625" style="2969" customWidth="1"/>
    <col min="11268" max="11268" width="9.375" style="2969" bestFit="1" customWidth="1"/>
    <col min="11269" max="11269" width="13.5" style="2969" customWidth="1"/>
    <col min="11270" max="11270" width="9" style="2969"/>
    <col min="11271" max="11271" width="9.375" style="2969" bestFit="1" customWidth="1"/>
    <col min="11272" max="11273" width="9" style="2969"/>
    <col min="11274" max="11274" width="9.375" style="2969" bestFit="1" customWidth="1"/>
    <col min="11275" max="11275" width="4" style="2969" customWidth="1"/>
    <col min="11276" max="11276" width="5.125" style="2969" customWidth="1"/>
    <col min="11277" max="11277" width="13.75" style="2969" customWidth="1"/>
    <col min="11278" max="11520" width="9" style="2969"/>
    <col min="11521" max="11521" width="4.875" style="2969" customWidth="1"/>
    <col min="11522" max="11522" width="13.25" style="2969" customWidth="1"/>
    <col min="11523" max="11523" width="15.625" style="2969" customWidth="1"/>
    <col min="11524" max="11524" width="9.375" style="2969" bestFit="1" customWidth="1"/>
    <col min="11525" max="11525" width="13.5" style="2969" customWidth="1"/>
    <col min="11526" max="11526" width="9" style="2969"/>
    <col min="11527" max="11527" width="9.375" style="2969" bestFit="1" customWidth="1"/>
    <col min="11528" max="11529" width="9" style="2969"/>
    <col min="11530" max="11530" width="9.375" style="2969" bestFit="1" customWidth="1"/>
    <col min="11531" max="11531" width="4" style="2969" customWidth="1"/>
    <col min="11532" max="11532" width="5.125" style="2969" customWidth="1"/>
    <col min="11533" max="11533" width="13.75" style="2969" customWidth="1"/>
    <col min="11534" max="11776" width="9" style="2969"/>
    <col min="11777" max="11777" width="4.875" style="2969" customWidth="1"/>
    <col min="11778" max="11778" width="13.25" style="2969" customWidth="1"/>
    <col min="11779" max="11779" width="15.625" style="2969" customWidth="1"/>
    <col min="11780" max="11780" width="9.375" style="2969" bestFit="1" customWidth="1"/>
    <col min="11781" max="11781" width="13.5" style="2969" customWidth="1"/>
    <col min="11782" max="11782" width="9" style="2969"/>
    <col min="11783" max="11783" width="9.375" style="2969" bestFit="1" customWidth="1"/>
    <col min="11784" max="11785" width="9" style="2969"/>
    <col min="11786" max="11786" width="9.375" style="2969" bestFit="1" customWidth="1"/>
    <col min="11787" max="11787" width="4" style="2969" customWidth="1"/>
    <col min="11788" max="11788" width="5.125" style="2969" customWidth="1"/>
    <col min="11789" max="11789" width="13.75" style="2969" customWidth="1"/>
    <col min="11790" max="12032" width="9" style="2969"/>
    <col min="12033" max="12033" width="4.875" style="2969" customWidth="1"/>
    <col min="12034" max="12034" width="13.25" style="2969" customWidth="1"/>
    <col min="12035" max="12035" width="15.625" style="2969" customWidth="1"/>
    <col min="12036" max="12036" width="9.375" style="2969" bestFit="1" customWidth="1"/>
    <col min="12037" max="12037" width="13.5" style="2969" customWidth="1"/>
    <col min="12038" max="12038" width="9" style="2969"/>
    <col min="12039" max="12039" width="9.375" style="2969" bestFit="1" customWidth="1"/>
    <col min="12040" max="12041" width="9" style="2969"/>
    <col min="12042" max="12042" width="9.375" style="2969" bestFit="1" customWidth="1"/>
    <col min="12043" max="12043" width="4" style="2969" customWidth="1"/>
    <col min="12044" max="12044" width="5.125" style="2969" customWidth="1"/>
    <col min="12045" max="12045" width="13.75" style="2969" customWidth="1"/>
    <col min="12046" max="12288" width="9" style="2969"/>
    <col min="12289" max="12289" width="4.875" style="2969" customWidth="1"/>
    <col min="12290" max="12290" width="13.25" style="2969" customWidth="1"/>
    <col min="12291" max="12291" width="15.625" style="2969" customWidth="1"/>
    <col min="12292" max="12292" width="9.375" style="2969" bestFit="1" customWidth="1"/>
    <col min="12293" max="12293" width="13.5" style="2969" customWidth="1"/>
    <col min="12294" max="12294" width="9" style="2969"/>
    <col min="12295" max="12295" width="9.375" style="2969" bestFit="1" customWidth="1"/>
    <col min="12296" max="12297" width="9" style="2969"/>
    <col min="12298" max="12298" width="9.375" style="2969" bestFit="1" customWidth="1"/>
    <col min="12299" max="12299" width="4" style="2969" customWidth="1"/>
    <col min="12300" max="12300" width="5.125" style="2969" customWidth="1"/>
    <col min="12301" max="12301" width="13.75" style="2969" customWidth="1"/>
    <col min="12302" max="12544" width="9" style="2969"/>
    <col min="12545" max="12545" width="4.875" style="2969" customWidth="1"/>
    <col min="12546" max="12546" width="13.25" style="2969" customWidth="1"/>
    <col min="12547" max="12547" width="15.625" style="2969" customWidth="1"/>
    <col min="12548" max="12548" width="9.375" style="2969" bestFit="1" customWidth="1"/>
    <col min="12549" max="12549" width="13.5" style="2969" customWidth="1"/>
    <col min="12550" max="12550" width="9" style="2969"/>
    <col min="12551" max="12551" width="9.375" style="2969" bestFit="1" customWidth="1"/>
    <col min="12552" max="12553" width="9" style="2969"/>
    <col min="12554" max="12554" width="9.375" style="2969" bestFit="1" customWidth="1"/>
    <col min="12555" max="12555" width="4" style="2969" customWidth="1"/>
    <col min="12556" max="12556" width="5.125" style="2969" customWidth="1"/>
    <col min="12557" max="12557" width="13.75" style="2969" customWidth="1"/>
    <col min="12558" max="12800" width="9" style="2969"/>
    <col min="12801" max="12801" width="4.875" style="2969" customWidth="1"/>
    <col min="12802" max="12802" width="13.25" style="2969" customWidth="1"/>
    <col min="12803" max="12803" width="15.625" style="2969" customWidth="1"/>
    <col min="12804" max="12804" width="9.375" style="2969" bestFit="1" customWidth="1"/>
    <col min="12805" max="12805" width="13.5" style="2969" customWidth="1"/>
    <col min="12806" max="12806" width="9" style="2969"/>
    <col min="12807" max="12807" width="9.375" style="2969" bestFit="1" customWidth="1"/>
    <col min="12808" max="12809" width="9" style="2969"/>
    <col min="12810" max="12810" width="9.375" style="2969" bestFit="1" customWidth="1"/>
    <col min="12811" max="12811" width="4" style="2969" customWidth="1"/>
    <col min="12812" max="12812" width="5.125" style="2969" customWidth="1"/>
    <col min="12813" max="12813" width="13.75" style="2969" customWidth="1"/>
    <col min="12814" max="13056" width="9" style="2969"/>
    <col min="13057" max="13057" width="4.875" style="2969" customWidth="1"/>
    <col min="13058" max="13058" width="13.25" style="2969" customWidth="1"/>
    <col min="13059" max="13059" width="15.625" style="2969" customWidth="1"/>
    <col min="13060" max="13060" width="9.375" style="2969" bestFit="1" customWidth="1"/>
    <col min="13061" max="13061" width="13.5" style="2969" customWidth="1"/>
    <col min="13062" max="13062" width="9" style="2969"/>
    <col min="13063" max="13063" width="9.375" style="2969" bestFit="1" customWidth="1"/>
    <col min="13064" max="13065" width="9" style="2969"/>
    <col min="13066" max="13066" width="9.375" style="2969" bestFit="1" customWidth="1"/>
    <col min="13067" max="13067" width="4" style="2969" customWidth="1"/>
    <col min="13068" max="13068" width="5.125" style="2969" customWidth="1"/>
    <col min="13069" max="13069" width="13.75" style="2969" customWidth="1"/>
    <col min="13070" max="13312" width="9" style="2969"/>
    <col min="13313" max="13313" width="4.875" style="2969" customWidth="1"/>
    <col min="13314" max="13314" width="13.25" style="2969" customWidth="1"/>
    <col min="13315" max="13315" width="15.625" style="2969" customWidth="1"/>
    <col min="13316" max="13316" width="9.375" style="2969" bestFit="1" customWidth="1"/>
    <col min="13317" max="13317" width="13.5" style="2969" customWidth="1"/>
    <col min="13318" max="13318" width="9" style="2969"/>
    <col min="13319" max="13319" width="9.375" style="2969" bestFit="1" customWidth="1"/>
    <col min="13320" max="13321" width="9" style="2969"/>
    <col min="13322" max="13322" width="9.375" style="2969" bestFit="1" customWidth="1"/>
    <col min="13323" max="13323" width="4" style="2969" customWidth="1"/>
    <col min="13324" max="13324" width="5.125" style="2969" customWidth="1"/>
    <col min="13325" max="13325" width="13.75" style="2969" customWidth="1"/>
    <col min="13326" max="13568" width="9" style="2969"/>
    <col min="13569" max="13569" width="4.875" style="2969" customWidth="1"/>
    <col min="13570" max="13570" width="13.25" style="2969" customWidth="1"/>
    <col min="13571" max="13571" width="15.625" style="2969" customWidth="1"/>
    <col min="13572" max="13572" width="9.375" style="2969" bestFit="1" customWidth="1"/>
    <col min="13573" max="13573" width="13.5" style="2969" customWidth="1"/>
    <col min="13574" max="13574" width="9" style="2969"/>
    <col min="13575" max="13575" width="9.375" style="2969" bestFit="1" customWidth="1"/>
    <col min="13576" max="13577" width="9" style="2969"/>
    <col min="13578" max="13578" width="9.375" style="2969" bestFit="1" customWidth="1"/>
    <col min="13579" max="13579" width="4" style="2969" customWidth="1"/>
    <col min="13580" max="13580" width="5.125" style="2969" customWidth="1"/>
    <col min="13581" max="13581" width="13.75" style="2969" customWidth="1"/>
    <col min="13582" max="13824" width="9" style="2969"/>
    <col min="13825" max="13825" width="4.875" style="2969" customWidth="1"/>
    <col min="13826" max="13826" width="13.25" style="2969" customWidth="1"/>
    <col min="13827" max="13827" width="15.625" style="2969" customWidth="1"/>
    <col min="13828" max="13828" width="9.375" style="2969" bestFit="1" customWidth="1"/>
    <col min="13829" max="13829" width="13.5" style="2969" customWidth="1"/>
    <col min="13830" max="13830" width="9" style="2969"/>
    <col min="13831" max="13831" width="9.375" style="2969" bestFit="1" customWidth="1"/>
    <col min="13832" max="13833" width="9" style="2969"/>
    <col min="13834" max="13834" width="9.375" style="2969" bestFit="1" customWidth="1"/>
    <col min="13835" max="13835" width="4" style="2969" customWidth="1"/>
    <col min="13836" max="13836" width="5.125" style="2969" customWidth="1"/>
    <col min="13837" max="13837" width="13.75" style="2969" customWidth="1"/>
    <col min="13838" max="14080" width="9" style="2969"/>
    <col min="14081" max="14081" width="4.875" style="2969" customWidth="1"/>
    <col min="14082" max="14082" width="13.25" style="2969" customWidth="1"/>
    <col min="14083" max="14083" width="15.625" style="2969" customWidth="1"/>
    <col min="14084" max="14084" width="9.375" style="2969" bestFit="1" customWidth="1"/>
    <col min="14085" max="14085" width="13.5" style="2969" customWidth="1"/>
    <col min="14086" max="14086" width="9" style="2969"/>
    <col min="14087" max="14087" width="9.375" style="2969" bestFit="1" customWidth="1"/>
    <col min="14088" max="14089" width="9" style="2969"/>
    <col min="14090" max="14090" width="9.375" style="2969" bestFit="1" customWidth="1"/>
    <col min="14091" max="14091" width="4" style="2969" customWidth="1"/>
    <col min="14092" max="14092" width="5.125" style="2969" customWidth="1"/>
    <col min="14093" max="14093" width="13.75" style="2969" customWidth="1"/>
    <col min="14094" max="14336" width="9" style="2969"/>
    <col min="14337" max="14337" width="4.875" style="2969" customWidth="1"/>
    <col min="14338" max="14338" width="13.25" style="2969" customWidth="1"/>
    <col min="14339" max="14339" width="15.625" style="2969" customWidth="1"/>
    <col min="14340" max="14340" width="9.375" style="2969" bestFit="1" customWidth="1"/>
    <col min="14341" max="14341" width="13.5" style="2969" customWidth="1"/>
    <col min="14342" max="14342" width="9" style="2969"/>
    <col min="14343" max="14343" width="9.375" style="2969" bestFit="1" customWidth="1"/>
    <col min="14344" max="14345" width="9" style="2969"/>
    <col min="14346" max="14346" width="9.375" style="2969" bestFit="1" customWidth="1"/>
    <col min="14347" max="14347" width="4" style="2969" customWidth="1"/>
    <col min="14348" max="14348" width="5.125" style="2969" customWidth="1"/>
    <col min="14349" max="14349" width="13.75" style="2969" customWidth="1"/>
    <col min="14350" max="14592" width="9" style="2969"/>
    <col min="14593" max="14593" width="4.875" style="2969" customWidth="1"/>
    <col min="14594" max="14594" width="13.25" style="2969" customWidth="1"/>
    <col min="14595" max="14595" width="15.625" style="2969" customWidth="1"/>
    <col min="14596" max="14596" width="9.375" style="2969" bestFit="1" customWidth="1"/>
    <col min="14597" max="14597" width="13.5" style="2969" customWidth="1"/>
    <col min="14598" max="14598" width="9" style="2969"/>
    <col min="14599" max="14599" width="9.375" style="2969" bestFit="1" customWidth="1"/>
    <col min="14600" max="14601" width="9" style="2969"/>
    <col min="14602" max="14602" width="9.375" style="2969" bestFit="1" customWidth="1"/>
    <col min="14603" max="14603" width="4" style="2969" customWidth="1"/>
    <col min="14604" max="14604" width="5.125" style="2969" customWidth="1"/>
    <col min="14605" max="14605" width="13.75" style="2969" customWidth="1"/>
    <col min="14606" max="14848" width="9" style="2969"/>
    <col min="14849" max="14849" width="4.875" style="2969" customWidth="1"/>
    <col min="14850" max="14850" width="13.25" style="2969" customWidth="1"/>
    <col min="14851" max="14851" width="15.625" style="2969" customWidth="1"/>
    <col min="14852" max="14852" width="9.375" style="2969" bestFit="1" customWidth="1"/>
    <col min="14853" max="14853" width="13.5" style="2969" customWidth="1"/>
    <col min="14854" max="14854" width="9" style="2969"/>
    <col min="14855" max="14855" width="9.375" style="2969" bestFit="1" customWidth="1"/>
    <col min="14856" max="14857" width="9" style="2969"/>
    <col min="14858" max="14858" width="9.375" style="2969" bestFit="1" customWidth="1"/>
    <col min="14859" max="14859" width="4" style="2969" customWidth="1"/>
    <col min="14860" max="14860" width="5.125" style="2969" customWidth="1"/>
    <col min="14861" max="14861" width="13.75" style="2969" customWidth="1"/>
    <col min="14862" max="15104" width="9" style="2969"/>
    <col min="15105" max="15105" width="4.875" style="2969" customWidth="1"/>
    <col min="15106" max="15106" width="13.25" style="2969" customWidth="1"/>
    <col min="15107" max="15107" width="15.625" style="2969" customWidth="1"/>
    <col min="15108" max="15108" width="9.375" style="2969" bestFit="1" customWidth="1"/>
    <col min="15109" max="15109" width="13.5" style="2969" customWidth="1"/>
    <col min="15110" max="15110" width="9" style="2969"/>
    <col min="15111" max="15111" width="9.375" style="2969" bestFit="1" customWidth="1"/>
    <col min="15112" max="15113" width="9" style="2969"/>
    <col min="15114" max="15114" width="9.375" style="2969" bestFit="1" customWidth="1"/>
    <col min="15115" max="15115" width="4" style="2969" customWidth="1"/>
    <col min="15116" max="15116" width="5.125" style="2969" customWidth="1"/>
    <col min="15117" max="15117" width="13.75" style="2969" customWidth="1"/>
    <col min="15118" max="15360" width="9" style="2969"/>
    <col min="15361" max="15361" width="4.875" style="2969" customWidth="1"/>
    <col min="15362" max="15362" width="13.25" style="2969" customWidth="1"/>
    <col min="15363" max="15363" width="15.625" style="2969" customWidth="1"/>
    <col min="15364" max="15364" width="9.375" style="2969" bestFit="1" customWidth="1"/>
    <col min="15365" max="15365" width="13.5" style="2969" customWidth="1"/>
    <col min="15366" max="15366" width="9" style="2969"/>
    <col min="15367" max="15367" width="9.375" style="2969" bestFit="1" customWidth="1"/>
    <col min="15368" max="15369" width="9" style="2969"/>
    <col min="15370" max="15370" width="9.375" style="2969" bestFit="1" customWidth="1"/>
    <col min="15371" max="15371" width="4" style="2969" customWidth="1"/>
    <col min="15372" max="15372" width="5.125" style="2969" customWidth="1"/>
    <col min="15373" max="15373" width="13.75" style="2969" customWidth="1"/>
    <col min="15374" max="15616" width="9" style="2969"/>
    <col min="15617" max="15617" width="4.875" style="2969" customWidth="1"/>
    <col min="15618" max="15618" width="13.25" style="2969" customWidth="1"/>
    <col min="15619" max="15619" width="15.625" style="2969" customWidth="1"/>
    <col min="15620" max="15620" width="9.375" style="2969" bestFit="1" customWidth="1"/>
    <col min="15621" max="15621" width="13.5" style="2969" customWidth="1"/>
    <col min="15622" max="15622" width="9" style="2969"/>
    <col min="15623" max="15623" width="9.375" style="2969" bestFit="1" customWidth="1"/>
    <col min="15624" max="15625" width="9" style="2969"/>
    <col min="15626" max="15626" width="9.375" style="2969" bestFit="1" customWidth="1"/>
    <col min="15627" max="15627" width="4" style="2969" customWidth="1"/>
    <col min="15628" max="15628" width="5.125" style="2969" customWidth="1"/>
    <col min="15629" max="15629" width="13.75" style="2969" customWidth="1"/>
    <col min="15630" max="15872" width="9" style="2969"/>
    <col min="15873" max="15873" width="4.875" style="2969" customWidth="1"/>
    <col min="15874" max="15874" width="13.25" style="2969" customWidth="1"/>
    <col min="15875" max="15875" width="15.625" style="2969" customWidth="1"/>
    <col min="15876" max="15876" width="9.375" style="2969" bestFit="1" customWidth="1"/>
    <col min="15877" max="15877" width="13.5" style="2969" customWidth="1"/>
    <col min="15878" max="15878" width="9" style="2969"/>
    <col min="15879" max="15879" width="9.375" style="2969" bestFit="1" customWidth="1"/>
    <col min="15880" max="15881" width="9" style="2969"/>
    <col min="15882" max="15882" width="9.375" style="2969" bestFit="1" customWidth="1"/>
    <col min="15883" max="15883" width="4" style="2969" customWidth="1"/>
    <col min="15884" max="15884" width="5.125" style="2969" customWidth="1"/>
    <col min="15885" max="15885" width="13.75" style="2969" customWidth="1"/>
    <col min="15886" max="16128" width="9" style="2969"/>
    <col min="16129" max="16129" width="4.875" style="2969" customWidth="1"/>
    <col min="16130" max="16130" width="13.25" style="2969" customWidth="1"/>
    <col min="16131" max="16131" width="15.625" style="2969" customWidth="1"/>
    <col min="16132" max="16132" width="9.375" style="2969" bestFit="1" customWidth="1"/>
    <col min="16133" max="16133" width="13.5" style="2969" customWidth="1"/>
    <col min="16134" max="16134" width="9" style="2969"/>
    <col min="16135" max="16135" width="9.375" style="2969" bestFit="1" customWidth="1"/>
    <col min="16136" max="16137" width="9" style="2969"/>
    <col min="16138" max="16138" width="9.375" style="2969" bestFit="1" customWidth="1"/>
    <col min="16139" max="16139" width="4" style="2969" customWidth="1"/>
    <col min="16140" max="16140" width="5.125" style="2969" customWidth="1"/>
    <col min="16141" max="16141" width="13.75" style="2969" customWidth="1"/>
    <col min="16142" max="16384" width="9" style="2969"/>
  </cols>
  <sheetData>
    <row r="1" spans="1:257" s="3029" customFormat="1" ht="14.25" thickBot="1">
      <c r="A1" s="3028"/>
      <c r="B1" s="3030" t="s">
        <v>2794</v>
      </c>
      <c r="C1" s="3034">
        <f>项目基本情况!D3</f>
        <v>43032</v>
      </c>
      <c r="H1" s="2968">
        <f>IF(C1&gt;C13,0,MATCH(C1,C$13:C$100,-1))+IF(SUMIF(C13:C100,C1,D13:D100)=0,13,12)</f>
        <v>13</v>
      </c>
      <c r="I1" s="2968">
        <f>MATCH(C2,H3:H7,1)+IF(SUMIF(H3:H7,C2,I3:I7)=0,2,1)</f>
        <v>5</v>
      </c>
      <c r="J1" s="3027">
        <f ca="1">MATCH(C3,H3:H7,1)+IF(SUMIF(H3:H7,C3,J3:J7)=0,2,1)</f>
        <v>2</v>
      </c>
      <c r="N1" s="2968">
        <f>IF(C1&gt;M13,0,MATCH(C1,M$13:M$100,-1))+IF(SUMIF(M13:M100,C1,N13:N100)=0,13,12)</f>
        <v>13</v>
      </c>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28"/>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c r="BU1" s="3028"/>
      <c r="BV1" s="3028"/>
      <c r="BW1" s="3028"/>
      <c r="BX1" s="3028"/>
      <c r="BY1" s="3028"/>
      <c r="BZ1" s="3028"/>
      <c r="CA1" s="3028"/>
      <c r="CB1" s="3028"/>
      <c r="CC1" s="3028"/>
      <c r="CD1" s="3028"/>
      <c r="CE1" s="3028"/>
      <c r="CF1" s="3028"/>
      <c r="CG1" s="3028"/>
      <c r="CH1" s="3028"/>
      <c r="CI1" s="3028"/>
      <c r="CJ1" s="3028"/>
      <c r="CK1" s="3028"/>
      <c r="CL1" s="3028"/>
      <c r="CM1" s="3028"/>
      <c r="CN1" s="3028"/>
      <c r="CO1" s="3028"/>
      <c r="CP1" s="3028"/>
      <c r="CQ1" s="3028"/>
      <c r="CR1" s="3028"/>
      <c r="CS1" s="3028"/>
      <c r="CT1" s="3028"/>
      <c r="CU1" s="3028"/>
      <c r="CV1" s="3028"/>
      <c r="CW1" s="3028"/>
      <c r="CX1" s="3028"/>
      <c r="CY1" s="3028"/>
      <c r="CZ1" s="3028"/>
      <c r="DA1" s="3028"/>
      <c r="DB1" s="3028"/>
      <c r="DC1" s="3028"/>
      <c r="DD1" s="3028"/>
      <c r="DE1" s="3028"/>
      <c r="DF1" s="3028"/>
      <c r="DG1" s="3028"/>
      <c r="DH1" s="3028"/>
      <c r="DI1" s="3028"/>
      <c r="DJ1" s="3028"/>
      <c r="DK1" s="3028"/>
      <c r="DL1" s="3028"/>
      <c r="DM1" s="3028"/>
      <c r="DN1" s="3028"/>
      <c r="DO1" s="3028"/>
      <c r="DP1" s="3028"/>
      <c r="DQ1" s="3028"/>
      <c r="DR1" s="3028"/>
      <c r="DS1" s="3028"/>
      <c r="DT1" s="3028"/>
      <c r="DU1" s="3028"/>
      <c r="DV1" s="3028"/>
      <c r="DW1" s="3028"/>
      <c r="DX1" s="3028"/>
      <c r="DY1" s="3028"/>
      <c r="DZ1" s="3028"/>
      <c r="EA1" s="3028"/>
      <c r="EB1" s="3028"/>
      <c r="EC1" s="3028"/>
      <c r="ED1" s="3028"/>
      <c r="EE1" s="3028"/>
      <c r="EF1" s="3028"/>
      <c r="EG1" s="3028"/>
      <c r="EH1" s="3028"/>
      <c r="EI1" s="3028"/>
      <c r="EJ1" s="3028"/>
      <c r="EK1" s="3028"/>
      <c r="EL1" s="3028"/>
      <c r="EM1" s="3028"/>
      <c r="EN1" s="3028"/>
      <c r="EO1" s="3028"/>
      <c r="EP1" s="3028"/>
      <c r="EQ1" s="3028"/>
      <c r="ER1" s="3028"/>
      <c r="ES1" s="3028"/>
      <c r="ET1" s="3028"/>
      <c r="EU1" s="3028"/>
      <c r="EV1" s="3028"/>
      <c r="EW1" s="3028"/>
      <c r="EX1" s="3028"/>
      <c r="EY1" s="3028"/>
      <c r="EZ1" s="3028"/>
      <c r="FA1" s="3028"/>
      <c r="FB1" s="3028"/>
      <c r="FC1" s="3028"/>
      <c r="FD1" s="3028"/>
      <c r="FE1" s="3028"/>
      <c r="FF1" s="3028"/>
      <c r="FG1" s="3028"/>
      <c r="FH1" s="3028"/>
      <c r="FI1" s="3028"/>
      <c r="FJ1" s="3028"/>
      <c r="FK1" s="3028"/>
      <c r="FL1" s="3028"/>
      <c r="FM1" s="3028"/>
      <c r="FN1" s="3028"/>
      <c r="FO1" s="3028"/>
      <c r="FP1" s="3028"/>
      <c r="FQ1" s="3028"/>
      <c r="FR1" s="3028"/>
      <c r="FS1" s="3028"/>
      <c r="FT1" s="3028"/>
      <c r="FU1" s="3028"/>
      <c r="FV1" s="3028"/>
      <c r="FW1" s="3028"/>
      <c r="FX1" s="3028"/>
      <c r="FY1" s="3028"/>
      <c r="FZ1" s="3028"/>
      <c r="GA1" s="3028"/>
      <c r="GB1" s="3028"/>
      <c r="GC1" s="3028"/>
      <c r="GD1" s="3028"/>
      <c r="GE1" s="3028"/>
      <c r="GF1" s="3028"/>
      <c r="GG1" s="3028"/>
      <c r="GH1" s="3028"/>
      <c r="GI1" s="3028"/>
      <c r="GJ1" s="3028"/>
      <c r="GK1" s="3028"/>
      <c r="GL1" s="3028"/>
      <c r="GM1" s="3028"/>
      <c r="GN1" s="3028"/>
      <c r="GO1" s="3028"/>
      <c r="GP1" s="3028"/>
      <c r="GQ1" s="3028"/>
      <c r="GR1" s="3028"/>
      <c r="GS1" s="3028"/>
      <c r="GT1" s="3028"/>
      <c r="GU1" s="3028"/>
      <c r="GV1" s="3028"/>
      <c r="GW1" s="3028"/>
      <c r="GX1" s="3028"/>
      <c r="GY1" s="3028"/>
      <c r="GZ1" s="3028"/>
      <c r="HA1" s="3028"/>
      <c r="HB1" s="3028"/>
      <c r="HC1" s="3028"/>
      <c r="HD1" s="3028"/>
      <c r="HE1" s="3028"/>
      <c r="HF1" s="3028"/>
      <c r="HG1" s="3028"/>
      <c r="HH1" s="3028"/>
      <c r="HI1" s="3028"/>
      <c r="HJ1" s="3028"/>
      <c r="HK1" s="3028"/>
      <c r="HL1" s="3028"/>
      <c r="HM1" s="3028"/>
      <c r="HN1" s="3028"/>
      <c r="HO1" s="3028"/>
      <c r="HP1" s="3028"/>
      <c r="HQ1" s="3028"/>
      <c r="HR1" s="3028"/>
      <c r="HS1" s="3028"/>
      <c r="HT1" s="3028"/>
      <c r="HU1" s="3028"/>
      <c r="HV1" s="3028"/>
      <c r="HW1" s="3028"/>
      <c r="HX1" s="3028"/>
      <c r="HY1" s="3028"/>
      <c r="HZ1" s="3028"/>
      <c r="IA1" s="3028"/>
      <c r="IB1" s="3028"/>
      <c r="IC1" s="3028"/>
      <c r="ID1" s="3028"/>
      <c r="IE1" s="3028"/>
      <c r="IF1" s="3028"/>
      <c r="IG1" s="3028"/>
      <c r="IH1" s="3028"/>
      <c r="II1" s="3028"/>
      <c r="IJ1" s="3028"/>
      <c r="IK1" s="3028"/>
      <c r="IL1" s="3028"/>
      <c r="IM1" s="3028"/>
      <c r="IN1" s="3028"/>
      <c r="IO1" s="3028"/>
      <c r="IP1" s="3028"/>
      <c r="IQ1" s="3028"/>
      <c r="IR1" s="3028"/>
      <c r="IS1" s="3028"/>
      <c r="IT1" s="3028"/>
      <c r="IU1" s="3028"/>
      <c r="IV1" s="3028"/>
    </row>
    <row r="2" spans="1:257" s="3026" customFormat="1" ht="15" thickTop="1" thickBot="1">
      <c r="A2" s="2970"/>
      <c r="B2" s="3031" t="s">
        <v>2825</v>
      </c>
      <c r="C2" s="3035">
        <f>'数据-取费表'!B22</f>
        <v>2</v>
      </c>
      <c r="D2" s="3030" t="s">
        <v>2795</v>
      </c>
      <c r="E2" s="3033">
        <f ca="1">INDIRECT("I"&amp;$I$1)/100</f>
        <v>4.7500000000000001E-2</v>
      </c>
      <c r="G2" s="2970"/>
      <c r="H2" s="2970"/>
      <c r="I2" s="2970" t="s">
        <v>2796</v>
      </c>
      <c r="K2" s="2970"/>
      <c r="L2" s="2970"/>
      <c r="M2" s="2970"/>
      <c r="N2" s="2970" t="s">
        <v>2797</v>
      </c>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0"/>
      <c r="BF2" s="2970"/>
      <c r="BG2" s="2970"/>
      <c r="BH2" s="2970"/>
      <c r="BI2" s="2970"/>
      <c r="BJ2" s="2970"/>
      <c r="BK2" s="2970"/>
      <c r="BL2" s="2970"/>
      <c r="BM2" s="2970"/>
      <c r="BN2" s="2970"/>
      <c r="BO2" s="2970"/>
      <c r="BP2" s="2970"/>
      <c r="BQ2" s="2970"/>
      <c r="BR2" s="2970"/>
      <c r="BS2" s="2970"/>
      <c r="BT2" s="2970"/>
      <c r="BU2" s="2970"/>
      <c r="BV2" s="2970"/>
      <c r="BW2" s="2970"/>
      <c r="BX2" s="2970"/>
      <c r="BY2" s="2970"/>
      <c r="BZ2" s="2970"/>
      <c r="CA2" s="2970"/>
      <c r="CB2" s="2970"/>
      <c r="CC2" s="2970"/>
      <c r="CD2" s="2970"/>
      <c r="CE2" s="2970"/>
      <c r="CF2" s="2970"/>
      <c r="CG2" s="2970"/>
      <c r="CH2" s="2970"/>
      <c r="CI2" s="2970"/>
      <c r="CJ2" s="2970"/>
      <c r="CK2" s="2970"/>
      <c r="CL2" s="2970"/>
      <c r="CM2" s="2970"/>
      <c r="CN2" s="2970"/>
      <c r="CO2" s="2970"/>
      <c r="CP2" s="2970"/>
      <c r="CQ2" s="2970"/>
      <c r="CR2" s="2970"/>
      <c r="CS2" s="2970"/>
      <c r="CT2" s="2970"/>
      <c r="CU2" s="2970"/>
      <c r="CV2" s="2970"/>
      <c r="CW2" s="2970"/>
      <c r="CX2" s="2970"/>
      <c r="CY2" s="2970"/>
      <c r="CZ2" s="2970"/>
      <c r="DA2" s="2970"/>
      <c r="DB2" s="2970"/>
      <c r="DC2" s="2970"/>
      <c r="DD2" s="2970"/>
      <c r="DE2" s="2970"/>
      <c r="DF2" s="2970"/>
      <c r="DG2" s="2970"/>
      <c r="DH2" s="2970"/>
      <c r="DI2" s="2970"/>
      <c r="DJ2" s="2970"/>
      <c r="DK2" s="2970"/>
      <c r="DL2" s="2970"/>
      <c r="DM2" s="2970"/>
      <c r="DN2" s="2970"/>
      <c r="DO2" s="2970"/>
      <c r="DP2" s="2970"/>
      <c r="DQ2" s="2970"/>
      <c r="DR2" s="2970"/>
      <c r="DS2" s="2970"/>
      <c r="DT2" s="2970"/>
      <c r="DU2" s="2970"/>
      <c r="DV2" s="2970"/>
      <c r="DW2" s="2970"/>
      <c r="DX2" s="2970"/>
      <c r="DY2" s="2970"/>
      <c r="DZ2" s="2970"/>
      <c r="EA2" s="2970"/>
      <c r="EB2" s="2970"/>
      <c r="EC2" s="2970"/>
      <c r="ED2" s="2970"/>
      <c r="EE2" s="2970"/>
      <c r="EF2" s="2970"/>
      <c r="EG2" s="2970"/>
      <c r="EH2" s="2970"/>
      <c r="EI2" s="2970"/>
      <c r="EJ2" s="2970"/>
      <c r="EK2" s="2970"/>
      <c r="EL2" s="2970"/>
      <c r="EM2" s="2970"/>
      <c r="EN2" s="2970"/>
      <c r="EO2" s="2970"/>
      <c r="EP2" s="2970"/>
      <c r="EQ2" s="2970"/>
      <c r="ER2" s="2970"/>
      <c r="ES2" s="2970"/>
      <c r="ET2" s="2970"/>
      <c r="EU2" s="2970"/>
      <c r="EV2" s="2970"/>
      <c r="EW2" s="2970"/>
      <c r="EX2" s="2970"/>
      <c r="EY2" s="2970"/>
      <c r="EZ2" s="2970"/>
      <c r="FA2" s="2970"/>
      <c r="FB2" s="2970"/>
      <c r="FC2" s="2970"/>
      <c r="FD2" s="2970"/>
      <c r="FE2" s="2970"/>
      <c r="FF2" s="2970"/>
      <c r="FG2" s="2970"/>
      <c r="FH2" s="2970"/>
      <c r="FI2" s="2970"/>
      <c r="FJ2" s="2970"/>
      <c r="FK2" s="2970"/>
      <c r="FL2" s="2970"/>
      <c r="FM2" s="2970"/>
      <c r="FN2" s="2970"/>
      <c r="FO2" s="2970"/>
      <c r="FP2" s="2970"/>
      <c r="FQ2" s="2970"/>
      <c r="FR2" s="2970"/>
      <c r="FS2" s="2970"/>
      <c r="FT2" s="2970"/>
      <c r="FU2" s="2970"/>
      <c r="FV2" s="2970"/>
      <c r="FW2" s="2970"/>
      <c r="FX2" s="2970"/>
      <c r="FY2" s="2970"/>
      <c r="FZ2" s="2970"/>
      <c r="GA2" s="2970"/>
      <c r="GB2" s="2970"/>
      <c r="GC2" s="2970"/>
      <c r="GD2" s="2970"/>
      <c r="GE2" s="2970"/>
      <c r="GF2" s="2970"/>
      <c r="GG2" s="2970"/>
      <c r="GH2" s="2970"/>
      <c r="GI2" s="2970"/>
      <c r="GJ2" s="2970"/>
      <c r="GK2" s="2970"/>
      <c r="GL2" s="2970"/>
      <c r="GM2" s="2970"/>
      <c r="GN2" s="2970"/>
      <c r="GO2" s="2970"/>
      <c r="GP2" s="2970"/>
      <c r="GQ2" s="2970"/>
      <c r="GR2" s="2970"/>
      <c r="GS2" s="2970"/>
      <c r="GT2" s="2970"/>
      <c r="GU2" s="2970"/>
      <c r="GV2" s="2970"/>
      <c r="GW2" s="2970"/>
      <c r="GX2" s="2970"/>
      <c r="GY2" s="2970"/>
      <c r="GZ2" s="2970"/>
      <c r="HA2" s="2970"/>
      <c r="HB2" s="2970"/>
      <c r="HC2" s="2970"/>
      <c r="HD2" s="2970"/>
      <c r="HE2" s="2970"/>
      <c r="HF2" s="2970"/>
      <c r="HG2" s="2970"/>
      <c r="HH2" s="2970"/>
      <c r="HI2" s="2970"/>
      <c r="HJ2" s="2970"/>
      <c r="HK2" s="2970"/>
      <c r="HL2" s="2970"/>
      <c r="HM2" s="2970"/>
      <c r="HN2" s="2970"/>
      <c r="HO2" s="2970"/>
      <c r="HP2" s="2970"/>
      <c r="HQ2" s="2970"/>
      <c r="HR2" s="2970"/>
      <c r="HS2" s="2970"/>
      <c r="HT2" s="2970"/>
      <c r="HU2" s="2970"/>
      <c r="HV2" s="2970"/>
      <c r="HW2" s="2970"/>
      <c r="HX2" s="2970"/>
      <c r="HY2" s="2970"/>
      <c r="HZ2" s="2970"/>
      <c r="IA2" s="2970"/>
      <c r="IB2" s="2970"/>
      <c r="IC2" s="2970"/>
      <c r="ID2" s="2970"/>
      <c r="IE2" s="2970"/>
      <c r="IF2" s="2970"/>
      <c r="IG2" s="2970"/>
      <c r="IH2" s="2970"/>
      <c r="II2" s="2970"/>
      <c r="IJ2" s="2970"/>
      <c r="IK2" s="2970"/>
      <c r="IL2" s="2970"/>
      <c r="IM2" s="2970"/>
      <c r="IN2" s="2970"/>
      <c r="IO2" s="2970"/>
      <c r="IP2" s="2970"/>
      <c r="IQ2" s="2970"/>
      <c r="IR2" s="2970"/>
      <c r="IS2" s="2970"/>
      <c r="IT2" s="2970"/>
      <c r="IU2" s="2970"/>
      <c r="IV2" s="2970"/>
      <c r="IW2" s="2970"/>
    </row>
    <row r="3" spans="1:257" s="3026" customFormat="1">
      <c r="A3" s="2971"/>
      <c r="B3" s="3030" t="s">
        <v>2827</v>
      </c>
      <c r="C3" s="3032">
        <f>'数据-取费表'!B19</f>
        <v>0</v>
      </c>
      <c r="D3" s="3030" t="s">
        <v>2795</v>
      </c>
      <c r="E3" s="3033">
        <f ca="1">INDIRECT("J"&amp;$J$1)/100</f>
        <v>0</v>
      </c>
      <c r="G3" s="2972" t="s">
        <v>2798</v>
      </c>
      <c r="H3" s="2973">
        <v>0</v>
      </c>
      <c r="I3" s="2974">
        <f ca="1">INDIRECT("d"&amp;$H$1)</f>
        <v>4.3499999999999996</v>
      </c>
      <c r="J3" s="2974">
        <f ca="1">INDIRECT("d"&amp;$H$1)</f>
        <v>4.3499999999999996</v>
      </c>
      <c r="K3" s="2971"/>
      <c r="L3" s="2971"/>
      <c r="M3" s="2975">
        <v>0.5</v>
      </c>
      <c r="N3" s="2976">
        <f ca="1">INDIRECT("p"&amp;$N$1)</f>
        <v>1.3</v>
      </c>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c r="AZ3" s="2971"/>
      <c r="BA3" s="2971"/>
      <c r="BB3" s="2971"/>
      <c r="BC3" s="2971"/>
      <c r="BD3" s="2971"/>
      <c r="BE3" s="2971"/>
      <c r="BF3" s="2971"/>
      <c r="BG3" s="2971"/>
      <c r="BH3" s="2971"/>
      <c r="BI3" s="2971"/>
      <c r="BJ3" s="2971"/>
      <c r="BK3" s="2971"/>
      <c r="BL3" s="2971"/>
      <c r="BM3" s="2971"/>
      <c r="BN3" s="2971"/>
      <c r="BO3" s="2971"/>
      <c r="BP3" s="2971"/>
      <c r="BQ3" s="2971"/>
      <c r="BR3" s="2971"/>
      <c r="BS3" s="2971"/>
      <c r="BT3" s="2971"/>
      <c r="BU3" s="2971"/>
      <c r="BV3" s="2971"/>
      <c r="BW3" s="2971"/>
      <c r="BX3" s="2971"/>
      <c r="BY3" s="2971"/>
      <c r="BZ3" s="2971"/>
      <c r="CA3" s="2971"/>
      <c r="CB3" s="2971"/>
      <c r="CC3" s="2971"/>
      <c r="CD3" s="2971"/>
      <c r="CE3" s="2971"/>
      <c r="CF3" s="2971"/>
      <c r="CG3" s="2971"/>
      <c r="CH3" s="2971"/>
      <c r="CI3" s="2971"/>
      <c r="CJ3" s="2971"/>
      <c r="CK3" s="2971"/>
      <c r="CL3" s="2971"/>
      <c r="CM3" s="2971"/>
      <c r="CN3" s="2971"/>
      <c r="CO3" s="2971"/>
      <c r="CP3" s="2971"/>
      <c r="CQ3" s="2971"/>
      <c r="CR3" s="2971"/>
      <c r="CS3" s="2971"/>
      <c r="CT3" s="2971"/>
      <c r="CU3" s="2971"/>
      <c r="CV3" s="2971"/>
      <c r="CW3" s="2971"/>
      <c r="CX3" s="2971"/>
      <c r="CY3" s="2971"/>
      <c r="CZ3" s="2971"/>
      <c r="DA3" s="2971"/>
      <c r="DB3" s="2971"/>
      <c r="DC3" s="2971"/>
      <c r="DD3" s="2971"/>
      <c r="DE3" s="2971"/>
      <c r="DF3" s="2971"/>
      <c r="DG3" s="2971"/>
      <c r="DH3" s="2971"/>
      <c r="DI3" s="2971"/>
      <c r="DJ3" s="2971"/>
      <c r="DK3" s="2971"/>
      <c r="DL3" s="2971"/>
      <c r="DM3" s="2971"/>
      <c r="DN3" s="2971"/>
      <c r="DO3" s="2971"/>
      <c r="DP3" s="2971"/>
      <c r="DQ3" s="2971"/>
      <c r="DR3" s="2971"/>
      <c r="DS3" s="2971"/>
      <c r="DT3" s="2971"/>
      <c r="DU3" s="2971"/>
      <c r="DV3" s="2971"/>
      <c r="DW3" s="2971"/>
      <c r="DX3" s="2971"/>
      <c r="DY3" s="2971"/>
      <c r="DZ3" s="2971"/>
      <c r="EA3" s="2971"/>
      <c r="EB3" s="2971"/>
      <c r="EC3" s="2971"/>
      <c r="ED3" s="2971"/>
      <c r="EE3" s="2971"/>
      <c r="EF3" s="2971"/>
      <c r="EG3" s="2971"/>
      <c r="EH3" s="2971"/>
      <c r="EI3" s="2971"/>
      <c r="EJ3" s="2971"/>
      <c r="EK3" s="2971"/>
      <c r="EL3" s="2971"/>
      <c r="EM3" s="2971"/>
      <c r="EN3" s="2971"/>
      <c r="EO3" s="2971"/>
      <c r="EP3" s="2971"/>
      <c r="EQ3" s="2971"/>
      <c r="ER3" s="2971"/>
      <c r="ES3" s="2971"/>
      <c r="ET3" s="2971"/>
      <c r="EU3" s="2971"/>
      <c r="EV3" s="2971"/>
      <c r="EW3" s="2971"/>
      <c r="EX3" s="2971"/>
      <c r="EY3" s="2971"/>
      <c r="EZ3" s="2971"/>
      <c r="FA3" s="2971"/>
      <c r="FB3" s="2971"/>
      <c r="FC3" s="2971"/>
      <c r="FD3" s="2971"/>
      <c r="FE3" s="2971"/>
      <c r="FF3" s="2971"/>
      <c r="FG3" s="2971"/>
      <c r="FH3" s="2971"/>
      <c r="FI3" s="2971"/>
      <c r="FJ3" s="2971"/>
      <c r="FK3" s="2971"/>
      <c r="FL3" s="2971"/>
      <c r="FM3" s="2971"/>
      <c r="FN3" s="2971"/>
      <c r="FO3" s="2971"/>
      <c r="FP3" s="2971"/>
      <c r="FQ3" s="2971"/>
      <c r="FR3" s="2971"/>
      <c r="FS3" s="2971"/>
      <c r="FT3" s="2971"/>
      <c r="FU3" s="2971"/>
      <c r="FV3" s="2971"/>
      <c r="FW3" s="2971"/>
      <c r="FX3" s="2971"/>
      <c r="FY3" s="2971"/>
      <c r="FZ3" s="2971"/>
      <c r="GA3" s="2971"/>
      <c r="GB3" s="2971"/>
      <c r="GC3" s="2971"/>
      <c r="GD3" s="2971"/>
      <c r="GE3" s="2971"/>
      <c r="GF3" s="2971"/>
      <c r="GG3" s="2971"/>
      <c r="GH3" s="2971"/>
      <c r="GI3" s="2971"/>
      <c r="GJ3" s="2971"/>
      <c r="GK3" s="2971"/>
      <c r="GL3" s="2971"/>
      <c r="GM3" s="2971"/>
      <c r="GN3" s="2971"/>
      <c r="GO3" s="2971"/>
      <c r="GP3" s="2971"/>
      <c r="GQ3" s="2971"/>
      <c r="GR3" s="2971"/>
      <c r="GS3" s="2971"/>
      <c r="GT3" s="2971"/>
      <c r="GU3" s="2971"/>
      <c r="GV3" s="2971"/>
      <c r="GW3" s="2971"/>
      <c r="GX3" s="2971"/>
      <c r="GY3" s="2971"/>
      <c r="GZ3" s="2971"/>
      <c r="HA3" s="2971"/>
      <c r="HB3" s="2971"/>
      <c r="HC3" s="2971"/>
      <c r="HD3" s="2971"/>
      <c r="HE3" s="2971"/>
      <c r="HF3" s="2971"/>
      <c r="HG3" s="2971"/>
      <c r="HH3" s="2971"/>
      <c r="HI3" s="2971"/>
      <c r="HJ3" s="2971"/>
      <c r="HK3" s="2971"/>
      <c r="HL3" s="2971"/>
      <c r="HM3" s="2971"/>
      <c r="HN3" s="2971"/>
      <c r="HO3" s="2971"/>
      <c r="HP3" s="2971"/>
      <c r="HQ3" s="2971"/>
      <c r="HR3" s="2971"/>
      <c r="HS3" s="2971"/>
      <c r="HT3" s="2971"/>
      <c r="HU3" s="2971"/>
      <c r="HV3" s="2971"/>
      <c r="HW3" s="2971"/>
      <c r="HX3" s="2971"/>
      <c r="HY3" s="2971"/>
      <c r="HZ3" s="2971"/>
      <c r="IA3" s="2971"/>
      <c r="IB3" s="2971"/>
      <c r="IC3" s="2971"/>
      <c r="ID3" s="2971"/>
      <c r="IE3" s="2971"/>
      <c r="IF3" s="2971"/>
      <c r="IG3" s="2971"/>
      <c r="IH3" s="2971"/>
      <c r="II3" s="2971"/>
      <c r="IJ3" s="2971"/>
      <c r="IK3" s="2971"/>
      <c r="IL3" s="2971"/>
      <c r="IM3" s="2971"/>
      <c r="IN3" s="2971"/>
      <c r="IO3" s="2971"/>
      <c r="IP3" s="2971"/>
      <c r="IQ3" s="2971"/>
      <c r="IR3" s="2971"/>
      <c r="IS3" s="2971"/>
      <c r="IT3" s="2971"/>
      <c r="IU3" s="2971"/>
      <c r="IV3" s="2971"/>
    </row>
    <row r="4" spans="1:257" s="3026" customFormat="1">
      <c r="A4" s="2971"/>
      <c r="B4" s="3030" t="s">
        <v>2826</v>
      </c>
      <c r="C4" s="3033">
        <f ca="1">N4/100</f>
        <v>1.4999999999999999E-2</v>
      </c>
      <c r="G4" s="2978" t="s">
        <v>2799</v>
      </c>
      <c r="H4" s="2979">
        <v>0.5</v>
      </c>
      <c r="I4" s="2980">
        <f ca="1">INDIRECT("e"&amp;$H$1)</f>
        <v>4.3499999999999996</v>
      </c>
      <c r="J4" s="2980">
        <f ca="1">INDIRECT("e"&amp;$H$1)</f>
        <v>4.3499999999999996</v>
      </c>
      <c r="K4" s="2971"/>
      <c r="L4" s="2971"/>
      <c r="M4" s="2981">
        <v>1</v>
      </c>
      <c r="N4" s="2982">
        <f ca="1">INDIRECT("q"&amp;$N$1)</f>
        <v>1.5</v>
      </c>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c r="AZ4" s="2971"/>
      <c r="BA4" s="2971"/>
      <c r="BB4" s="2971"/>
      <c r="BC4" s="2971"/>
      <c r="BD4" s="2971"/>
      <c r="BE4" s="2971"/>
      <c r="BF4" s="2971"/>
      <c r="BG4" s="2971"/>
      <c r="BH4" s="2971"/>
      <c r="BI4" s="2971"/>
      <c r="BJ4" s="2971"/>
      <c r="BK4" s="2971"/>
      <c r="BL4" s="2971"/>
      <c r="BM4" s="2971"/>
      <c r="BN4" s="2971"/>
      <c r="BO4" s="2971"/>
      <c r="BP4" s="2971"/>
      <c r="BQ4" s="2971"/>
      <c r="BR4" s="2971"/>
      <c r="BS4" s="2971"/>
      <c r="BT4" s="2971"/>
      <c r="BU4" s="2971"/>
      <c r="BV4" s="2971"/>
      <c r="BW4" s="2971"/>
      <c r="BX4" s="2971"/>
      <c r="BY4" s="2971"/>
      <c r="BZ4" s="2971"/>
      <c r="CA4" s="2971"/>
      <c r="CB4" s="2971"/>
      <c r="CC4" s="2971"/>
      <c r="CD4" s="2971"/>
      <c r="CE4" s="2971"/>
      <c r="CF4" s="2971"/>
      <c r="CG4" s="2971"/>
      <c r="CH4" s="2971"/>
      <c r="CI4" s="2971"/>
      <c r="CJ4" s="2971"/>
      <c r="CK4" s="2971"/>
      <c r="CL4" s="2971"/>
      <c r="CM4" s="2971"/>
      <c r="CN4" s="2971"/>
      <c r="CO4" s="2971"/>
      <c r="CP4" s="2971"/>
      <c r="CQ4" s="2971"/>
      <c r="CR4" s="2971"/>
      <c r="CS4" s="2971"/>
      <c r="CT4" s="2971"/>
      <c r="CU4" s="2971"/>
      <c r="CV4" s="2971"/>
      <c r="CW4" s="2971"/>
      <c r="CX4" s="2971"/>
      <c r="CY4" s="2971"/>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c r="EG4" s="2971"/>
      <c r="EH4" s="2971"/>
      <c r="EI4" s="2971"/>
      <c r="EJ4" s="2971"/>
      <c r="EK4" s="2971"/>
      <c r="EL4" s="2971"/>
      <c r="EM4" s="2971"/>
      <c r="EN4" s="2971"/>
      <c r="EO4" s="2971"/>
      <c r="EP4" s="2971"/>
      <c r="EQ4" s="2971"/>
      <c r="ER4" s="2971"/>
      <c r="ES4" s="2971"/>
      <c r="ET4" s="2971"/>
      <c r="EU4" s="2971"/>
      <c r="EV4" s="2971"/>
      <c r="EW4" s="2971"/>
      <c r="EX4" s="2971"/>
      <c r="EY4" s="2971"/>
      <c r="EZ4" s="2971"/>
      <c r="FA4" s="2971"/>
      <c r="FB4" s="2971"/>
      <c r="FC4" s="2971"/>
      <c r="FD4" s="2971"/>
      <c r="FE4" s="2971"/>
      <c r="FF4" s="2971"/>
      <c r="FG4" s="2971"/>
      <c r="FH4" s="2971"/>
      <c r="FI4" s="2971"/>
      <c r="FJ4" s="2971"/>
      <c r="FK4" s="2971"/>
      <c r="FL4" s="2971"/>
      <c r="FM4" s="2971"/>
      <c r="FN4" s="2971"/>
      <c r="FO4" s="2971"/>
      <c r="FP4" s="2971"/>
      <c r="FQ4" s="2971"/>
      <c r="FR4" s="2971"/>
      <c r="FS4" s="2971"/>
      <c r="FT4" s="2971"/>
      <c r="FU4" s="2971"/>
      <c r="FV4" s="2971"/>
      <c r="FW4" s="2971"/>
      <c r="FX4" s="2971"/>
      <c r="FY4" s="2971"/>
      <c r="FZ4" s="2971"/>
      <c r="GA4" s="2971"/>
      <c r="GB4" s="2971"/>
      <c r="GC4" s="2971"/>
      <c r="GD4" s="2971"/>
      <c r="GE4" s="2971"/>
      <c r="GF4" s="2971"/>
      <c r="GG4" s="2971"/>
      <c r="GH4" s="2971"/>
      <c r="GI4" s="2971"/>
      <c r="GJ4" s="2971"/>
      <c r="GK4" s="2971"/>
      <c r="GL4" s="2971"/>
      <c r="GM4" s="2971"/>
      <c r="GN4" s="2971"/>
      <c r="GO4" s="2971"/>
      <c r="GP4" s="2971"/>
      <c r="GQ4" s="2971"/>
      <c r="GR4" s="2971"/>
      <c r="GS4" s="2971"/>
      <c r="GT4" s="2971"/>
      <c r="GU4" s="2971"/>
      <c r="GV4" s="2971"/>
      <c r="GW4" s="2971"/>
      <c r="GX4" s="2971"/>
      <c r="GY4" s="2971"/>
      <c r="GZ4" s="2971"/>
      <c r="HA4" s="2971"/>
      <c r="HB4" s="2971"/>
      <c r="HC4" s="2971"/>
      <c r="HD4" s="2971"/>
      <c r="HE4" s="2971"/>
      <c r="HF4" s="2971"/>
      <c r="HG4" s="2971"/>
      <c r="HH4" s="2971"/>
      <c r="HI4" s="2971"/>
      <c r="HJ4" s="2971"/>
      <c r="HK4" s="2971"/>
      <c r="HL4" s="2971"/>
      <c r="HM4" s="2971"/>
      <c r="HN4" s="2971"/>
      <c r="HO4" s="2971"/>
      <c r="HP4" s="2971"/>
      <c r="HQ4" s="2971"/>
      <c r="HR4" s="2971"/>
      <c r="HS4" s="2971"/>
      <c r="HT4" s="2971"/>
      <c r="HU4" s="2971"/>
      <c r="HV4" s="2971"/>
      <c r="HW4" s="2971"/>
      <c r="HX4" s="2971"/>
      <c r="HY4" s="2971"/>
      <c r="HZ4" s="2971"/>
      <c r="IA4" s="2971"/>
      <c r="IB4" s="2971"/>
      <c r="IC4" s="2971"/>
      <c r="ID4" s="2971"/>
      <c r="IE4" s="2971"/>
      <c r="IF4" s="2971"/>
      <c r="IG4" s="2971"/>
      <c r="IH4" s="2971"/>
      <c r="II4" s="2971"/>
      <c r="IJ4" s="2971"/>
      <c r="IK4" s="2971"/>
      <c r="IL4" s="2971"/>
      <c r="IM4" s="2971"/>
      <c r="IN4" s="2971"/>
      <c r="IO4" s="2971"/>
      <c r="IP4" s="2971"/>
      <c r="IQ4" s="2971"/>
      <c r="IR4" s="2971"/>
      <c r="IS4" s="2971"/>
      <c r="IT4" s="2971"/>
      <c r="IU4" s="2971"/>
      <c r="IV4" s="2971"/>
    </row>
    <row r="5" spans="1:257" s="3026" customFormat="1">
      <c r="A5" s="2971"/>
      <c r="G5" s="2978" t="s">
        <v>2800</v>
      </c>
      <c r="H5" s="2979">
        <v>1</v>
      </c>
      <c r="I5" s="2980">
        <f ca="1">INDIRECT("f"&amp;$H$1)</f>
        <v>4.75</v>
      </c>
      <c r="J5" s="2980">
        <f ca="1">INDIRECT("f"&amp;$H$1)</f>
        <v>4.75</v>
      </c>
      <c r="K5" s="2971"/>
      <c r="L5" s="2971"/>
      <c r="M5" s="2981">
        <v>2</v>
      </c>
      <c r="N5" s="2982">
        <f ca="1">INDIRECT("r"&amp;$N$1)</f>
        <v>2.1</v>
      </c>
      <c r="O5" s="2971"/>
      <c r="P5" s="2971"/>
      <c r="Q5" s="2971"/>
      <c r="R5" s="2971"/>
      <c r="S5" s="2971"/>
      <c r="T5" s="2971"/>
      <c r="U5" s="2971"/>
      <c r="V5" s="2971"/>
      <c r="W5" s="2971"/>
      <c r="X5" s="2971"/>
      <c r="Y5" s="2971"/>
      <c r="Z5" s="2971"/>
      <c r="AA5" s="2971"/>
      <c r="AB5" s="2971"/>
      <c r="AC5" s="2971"/>
      <c r="AD5" s="2971"/>
      <c r="AE5" s="2971"/>
      <c r="AF5" s="2971"/>
      <c r="AG5" s="2971"/>
      <c r="AH5" s="2971"/>
      <c r="AI5" s="2971"/>
      <c r="AJ5" s="2971"/>
      <c r="AK5" s="2971"/>
      <c r="AL5" s="2971"/>
      <c r="AM5" s="2971"/>
      <c r="AN5" s="2971"/>
      <c r="AO5" s="2971"/>
      <c r="AP5" s="2971"/>
      <c r="AQ5" s="2971"/>
      <c r="AR5" s="2971"/>
      <c r="AS5" s="2971"/>
      <c r="AT5" s="2971"/>
      <c r="AU5" s="2971"/>
      <c r="AV5" s="2971"/>
      <c r="AW5" s="2971"/>
      <c r="AX5" s="2971"/>
      <c r="AY5" s="2971"/>
      <c r="AZ5" s="2971"/>
      <c r="BA5" s="2971"/>
      <c r="BB5" s="2971"/>
      <c r="BC5" s="2971"/>
      <c r="BD5" s="2971"/>
      <c r="BE5" s="2971"/>
      <c r="BF5" s="2971"/>
      <c r="BG5" s="2971"/>
      <c r="BH5" s="2971"/>
      <c r="BI5" s="2971"/>
      <c r="BJ5" s="2971"/>
      <c r="BK5" s="2971"/>
      <c r="BL5" s="2971"/>
      <c r="BM5" s="2971"/>
      <c r="BN5" s="2971"/>
      <c r="BO5" s="2971"/>
      <c r="BP5" s="2971"/>
      <c r="BQ5" s="2971"/>
      <c r="BR5" s="2971"/>
      <c r="BS5" s="2971"/>
      <c r="BT5" s="2971"/>
      <c r="BU5" s="2971"/>
      <c r="BV5" s="2971"/>
      <c r="BW5" s="2971"/>
      <c r="BX5" s="2971"/>
      <c r="BY5" s="2971"/>
      <c r="BZ5" s="2971"/>
      <c r="CA5" s="2971"/>
      <c r="CB5" s="2971"/>
      <c r="CC5" s="2971"/>
      <c r="CD5" s="2971"/>
      <c r="CE5" s="2971"/>
      <c r="CF5" s="2971"/>
      <c r="CG5" s="2971"/>
      <c r="CH5" s="2971"/>
      <c r="CI5" s="2971"/>
      <c r="CJ5" s="2971"/>
      <c r="CK5" s="2971"/>
      <c r="CL5" s="2971"/>
      <c r="CM5" s="2971"/>
      <c r="CN5" s="2971"/>
      <c r="CO5" s="2971"/>
      <c r="CP5" s="2971"/>
      <c r="CQ5" s="2971"/>
      <c r="CR5" s="2971"/>
      <c r="CS5" s="2971"/>
      <c r="CT5" s="2971"/>
      <c r="CU5" s="2971"/>
      <c r="CV5" s="2971"/>
      <c r="CW5" s="2971"/>
      <c r="CX5" s="2971"/>
      <c r="CY5" s="2971"/>
      <c r="CZ5" s="2971"/>
      <c r="DA5" s="2971"/>
      <c r="DB5" s="2971"/>
      <c r="DC5" s="2971"/>
      <c r="DD5" s="2971"/>
      <c r="DE5" s="2971"/>
      <c r="DF5" s="2971"/>
      <c r="DG5" s="2971"/>
      <c r="DH5" s="2971"/>
      <c r="DI5" s="2971"/>
      <c r="DJ5" s="2971"/>
      <c r="DK5" s="2971"/>
      <c r="DL5" s="2971"/>
      <c r="DM5" s="2971"/>
      <c r="DN5" s="2971"/>
      <c r="DO5" s="2971"/>
      <c r="DP5" s="2971"/>
      <c r="DQ5" s="2971"/>
      <c r="DR5" s="2971"/>
      <c r="DS5" s="2971"/>
      <c r="DT5" s="2971"/>
      <c r="DU5" s="2971"/>
      <c r="DV5" s="2971"/>
      <c r="DW5" s="2971"/>
      <c r="DX5" s="2971"/>
      <c r="DY5" s="2971"/>
      <c r="DZ5" s="2971"/>
      <c r="EA5" s="2971"/>
      <c r="EB5" s="2971"/>
      <c r="EC5" s="2971"/>
      <c r="ED5" s="2971"/>
      <c r="EE5" s="2971"/>
      <c r="EF5" s="2971"/>
      <c r="EG5" s="2971"/>
      <c r="EH5" s="2971"/>
      <c r="EI5" s="2971"/>
      <c r="EJ5" s="2971"/>
      <c r="EK5" s="2971"/>
      <c r="EL5" s="2971"/>
      <c r="EM5" s="2971"/>
      <c r="EN5" s="2971"/>
      <c r="EO5" s="2971"/>
      <c r="EP5" s="2971"/>
      <c r="EQ5" s="2971"/>
      <c r="ER5" s="2971"/>
      <c r="ES5" s="2971"/>
      <c r="ET5" s="2971"/>
      <c r="EU5" s="2971"/>
      <c r="EV5" s="2971"/>
      <c r="EW5" s="2971"/>
      <c r="EX5" s="2971"/>
      <c r="EY5" s="2971"/>
      <c r="EZ5" s="2971"/>
      <c r="FA5" s="2971"/>
      <c r="FB5" s="2971"/>
      <c r="FC5" s="2971"/>
      <c r="FD5" s="2971"/>
      <c r="FE5" s="2971"/>
      <c r="FF5" s="2971"/>
      <c r="FG5" s="2971"/>
      <c r="FH5" s="2971"/>
      <c r="FI5" s="2971"/>
      <c r="FJ5" s="2971"/>
      <c r="FK5" s="2971"/>
      <c r="FL5" s="2971"/>
      <c r="FM5" s="2971"/>
      <c r="FN5" s="2971"/>
      <c r="FO5" s="2971"/>
      <c r="FP5" s="2971"/>
      <c r="FQ5" s="2971"/>
      <c r="FR5" s="2971"/>
      <c r="FS5" s="2971"/>
      <c r="FT5" s="2971"/>
      <c r="FU5" s="2971"/>
      <c r="FV5" s="2971"/>
      <c r="FW5" s="2971"/>
      <c r="FX5" s="2971"/>
      <c r="FY5" s="2971"/>
      <c r="FZ5" s="2971"/>
      <c r="GA5" s="2971"/>
      <c r="GB5" s="2971"/>
      <c r="GC5" s="2971"/>
      <c r="GD5" s="2971"/>
      <c r="GE5" s="2971"/>
      <c r="GF5" s="2971"/>
      <c r="GG5" s="2971"/>
      <c r="GH5" s="2971"/>
      <c r="GI5" s="2971"/>
      <c r="GJ5" s="2971"/>
      <c r="GK5" s="2971"/>
      <c r="GL5" s="2971"/>
      <c r="GM5" s="2971"/>
      <c r="GN5" s="2971"/>
      <c r="GO5" s="2971"/>
      <c r="GP5" s="2971"/>
      <c r="GQ5" s="2971"/>
      <c r="GR5" s="2971"/>
      <c r="GS5" s="2971"/>
      <c r="GT5" s="2971"/>
      <c r="GU5" s="2971"/>
      <c r="GV5" s="2971"/>
      <c r="GW5" s="2971"/>
      <c r="GX5" s="2971"/>
      <c r="GY5" s="2971"/>
      <c r="GZ5" s="2971"/>
      <c r="HA5" s="2971"/>
      <c r="HB5" s="2971"/>
      <c r="HC5" s="2971"/>
      <c r="HD5" s="2971"/>
      <c r="HE5" s="2971"/>
      <c r="HF5" s="2971"/>
      <c r="HG5" s="2971"/>
      <c r="HH5" s="2971"/>
      <c r="HI5" s="2971"/>
      <c r="HJ5" s="2971"/>
      <c r="HK5" s="2971"/>
      <c r="HL5" s="2971"/>
      <c r="HM5" s="2971"/>
      <c r="HN5" s="2971"/>
      <c r="HO5" s="2971"/>
      <c r="HP5" s="2971"/>
      <c r="HQ5" s="2971"/>
      <c r="HR5" s="2971"/>
      <c r="HS5" s="2971"/>
      <c r="HT5" s="2971"/>
      <c r="HU5" s="2971"/>
      <c r="HV5" s="2971"/>
      <c r="HW5" s="2971"/>
      <c r="HX5" s="2971"/>
      <c r="HY5" s="2971"/>
      <c r="HZ5" s="2971"/>
      <c r="IA5" s="2971"/>
      <c r="IB5" s="2971"/>
      <c r="IC5" s="2971"/>
      <c r="ID5" s="2971"/>
      <c r="IE5" s="2971"/>
      <c r="IF5" s="2971"/>
      <c r="IG5" s="2971"/>
      <c r="IH5" s="2971"/>
      <c r="II5" s="2971"/>
      <c r="IJ5" s="2971"/>
      <c r="IK5" s="2971"/>
      <c r="IL5" s="2971"/>
      <c r="IM5" s="2971"/>
      <c r="IN5" s="2971"/>
      <c r="IO5" s="2971"/>
      <c r="IP5" s="2971"/>
      <c r="IQ5" s="2971"/>
      <c r="IR5" s="2971"/>
      <c r="IS5" s="2971"/>
      <c r="IT5" s="2971"/>
      <c r="IU5" s="2971"/>
      <c r="IV5" s="2971"/>
    </row>
    <row r="6" spans="1:257" s="3026" customFormat="1">
      <c r="A6" s="2971"/>
      <c r="G6" s="2978" t="s">
        <v>2801</v>
      </c>
      <c r="H6" s="2979">
        <v>3</v>
      </c>
      <c r="I6" s="2980">
        <f ca="1">INDIRECT("g"&amp;$H$1)</f>
        <v>4.75</v>
      </c>
      <c r="J6" s="2980">
        <f ca="1">INDIRECT("g"&amp;$H$1)</f>
        <v>4.75</v>
      </c>
      <c r="K6" s="2971"/>
      <c r="L6" s="2971"/>
      <c r="M6" s="2981">
        <v>3</v>
      </c>
      <c r="N6" s="2982">
        <f ca="1">INDIRECT("s"&amp;$N$1)</f>
        <v>2.75</v>
      </c>
      <c r="O6" s="2971"/>
      <c r="P6" s="2971"/>
      <c r="Q6" s="2971"/>
      <c r="R6" s="2971"/>
      <c r="S6" s="2971"/>
      <c r="T6" s="2971"/>
      <c r="U6" s="2971"/>
      <c r="V6" s="2971"/>
      <c r="W6" s="2971"/>
      <c r="X6" s="2971"/>
      <c r="Y6" s="2971"/>
      <c r="Z6" s="2971"/>
      <c r="AA6" s="2971"/>
      <c r="AB6" s="2971"/>
      <c r="AC6" s="2971"/>
      <c r="AD6" s="2971"/>
      <c r="AE6" s="2971"/>
      <c r="AF6" s="2971"/>
      <c r="AG6" s="2971"/>
      <c r="AH6" s="2971"/>
      <c r="AI6" s="2971"/>
      <c r="AJ6" s="2971"/>
      <c r="AK6" s="2971"/>
      <c r="AL6" s="2971"/>
      <c r="AM6" s="2971"/>
      <c r="AN6" s="2971"/>
      <c r="AO6" s="2971"/>
      <c r="AP6" s="2971"/>
      <c r="AQ6" s="2971"/>
      <c r="AR6" s="2971"/>
      <c r="AS6" s="2971"/>
      <c r="AT6" s="2971"/>
      <c r="AU6" s="2971"/>
      <c r="AV6" s="2971"/>
      <c r="AW6" s="2971"/>
      <c r="AX6" s="2971"/>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1"/>
      <c r="BW6" s="2971"/>
      <c r="BX6" s="2971"/>
      <c r="BY6" s="2971"/>
      <c r="BZ6" s="2971"/>
      <c r="CA6" s="2971"/>
      <c r="CB6" s="2971"/>
      <c r="CC6" s="2971"/>
      <c r="CD6" s="2971"/>
      <c r="CE6" s="2971"/>
      <c r="CF6" s="2971"/>
      <c r="CG6" s="2971"/>
      <c r="CH6" s="2971"/>
      <c r="CI6" s="2971"/>
      <c r="CJ6" s="2971"/>
      <c r="CK6" s="2971"/>
      <c r="CL6" s="2971"/>
      <c r="CM6" s="2971"/>
      <c r="CN6" s="2971"/>
      <c r="CO6" s="2971"/>
      <c r="CP6" s="2971"/>
      <c r="CQ6" s="2971"/>
      <c r="CR6" s="2971"/>
      <c r="CS6" s="2971"/>
      <c r="CT6" s="2971"/>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71"/>
      <c r="DS6" s="2971"/>
      <c r="DT6" s="2971"/>
      <c r="DU6" s="2971"/>
      <c r="DV6" s="2971"/>
      <c r="DW6" s="2971"/>
      <c r="DX6" s="2971"/>
      <c r="DY6" s="2971"/>
      <c r="DZ6" s="2971"/>
      <c r="EA6" s="2971"/>
      <c r="EB6" s="2971"/>
      <c r="EC6" s="2971"/>
      <c r="ED6" s="2971"/>
      <c r="EE6" s="2971"/>
      <c r="EF6" s="2971"/>
      <c r="EG6" s="2971"/>
      <c r="EH6" s="2971"/>
      <c r="EI6" s="2971"/>
      <c r="EJ6" s="2971"/>
      <c r="EK6" s="2971"/>
      <c r="EL6" s="2971"/>
      <c r="EM6" s="2971"/>
      <c r="EN6" s="2971"/>
      <c r="EO6" s="2971"/>
      <c r="EP6" s="2971"/>
      <c r="EQ6" s="2971"/>
      <c r="ER6" s="2971"/>
      <c r="ES6" s="2971"/>
      <c r="ET6" s="2971"/>
      <c r="EU6" s="2971"/>
      <c r="EV6" s="2971"/>
      <c r="EW6" s="2971"/>
      <c r="EX6" s="2971"/>
      <c r="EY6" s="2971"/>
      <c r="EZ6" s="2971"/>
      <c r="FA6" s="2971"/>
      <c r="FB6" s="2971"/>
      <c r="FC6" s="2971"/>
      <c r="FD6" s="2971"/>
      <c r="FE6" s="2971"/>
      <c r="FF6" s="2971"/>
      <c r="FG6" s="2971"/>
      <c r="FH6" s="2971"/>
      <c r="FI6" s="2971"/>
      <c r="FJ6" s="2971"/>
      <c r="FK6" s="2971"/>
      <c r="FL6" s="2971"/>
      <c r="FM6" s="2971"/>
      <c r="FN6" s="2971"/>
      <c r="FO6" s="2971"/>
      <c r="FP6" s="2971"/>
      <c r="FQ6" s="2971"/>
      <c r="FR6" s="2971"/>
      <c r="FS6" s="2971"/>
      <c r="FT6" s="2971"/>
      <c r="FU6" s="2971"/>
      <c r="FV6" s="2971"/>
      <c r="FW6" s="2971"/>
      <c r="FX6" s="2971"/>
      <c r="FY6" s="2971"/>
      <c r="FZ6" s="2971"/>
      <c r="GA6" s="2971"/>
      <c r="GB6" s="2971"/>
      <c r="GC6" s="2971"/>
      <c r="GD6" s="2971"/>
      <c r="GE6" s="2971"/>
      <c r="GF6" s="2971"/>
      <c r="GG6" s="2971"/>
      <c r="GH6" s="2971"/>
      <c r="GI6" s="2971"/>
      <c r="GJ6" s="2971"/>
      <c r="GK6" s="2971"/>
      <c r="GL6" s="2971"/>
      <c r="GM6" s="2971"/>
      <c r="GN6" s="2971"/>
      <c r="GO6" s="2971"/>
      <c r="GP6" s="2971"/>
      <c r="GQ6" s="2971"/>
      <c r="GR6" s="2971"/>
      <c r="GS6" s="2971"/>
      <c r="GT6" s="2971"/>
      <c r="GU6" s="2971"/>
      <c r="GV6" s="2971"/>
      <c r="GW6" s="2971"/>
      <c r="GX6" s="2971"/>
      <c r="GY6" s="2971"/>
      <c r="GZ6" s="2971"/>
      <c r="HA6" s="2971"/>
      <c r="HB6" s="2971"/>
      <c r="HC6" s="2971"/>
      <c r="HD6" s="2971"/>
      <c r="HE6" s="2971"/>
      <c r="HF6" s="2971"/>
      <c r="HG6" s="2971"/>
      <c r="HH6" s="2971"/>
      <c r="HI6" s="2971"/>
      <c r="HJ6" s="2971"/>
      <c r="HK6" s="2971"/>
      <c r="HL6" s="2971"/>
      <c r="HM6" s="2971"/>
      <c r="HN6" s="2971"/>
      <c r="HO6" s="2971"/>
      <c r="HP6" s="2971"/>
      <c r="HQ6" s="2971"/>
      <c r="HR6" s="2971"/>
      <c r="HS6" s="2971"/>
      <c r="HT6" s="2971"/>
      <c r="HU6" s="2971"/>
      <c r="HV6" s="2971"/>
      <c r="HW6" s="2971"/>
      <c r="HX6" s="2971"/>
      <c r="HY6" s="2971"/>
      <c r="HZ6" s="2971"/>
      <c r="IA6" s="2971"/>
      <c r="IB6" s="2971"/>
      <c r="IC6" s="2971"/>
      <c r="ID6" s="2971"/>
      <c r="IE6" s="2971"/>
      <c r="IF6" s="2971"/>
      <c r="IG6" s="2971"/>
      <c r="IH6" s="2971"/>
      <c r="II6" s="2971"/>
      <c r="IJ6" s="2971"/>
      <c r="IK6" s="2971"/>
      <c r="IL6" s="2971"/>
      <c r="IM6" s="2971"/>
      <c r="IN6" s="2971"/>
      <c r="IO6" s="2971"/>
      <c r="IP6" s="2971"/>
      <c r="IQ6" s="2971"/>
      <c r="IR6" s="2971"/>
      <c r="IS6" s="2971"/>
      <c r="IT6" s="2971"/>
      <c r="IU6" s="2971"/>
      <c r="IV6" s="2971"/>
    </row>
    <row r="7" spans="1:257" s="3026" customFormat="1" ht="14.25" thickBot="1">
      <c r="A7" s="2971"/>
      <c r="G7" s="2983" t="s">
        <v>2802</v>
      </c>
      <c r="H7" s="2984">
        <v>5</v>
      </c>
      <c r="I7" s="2985">
        <f ca="1">INDIRECT("h"&amp;$H$1)</f>
        <v>4.9000000000000004</v>
      </c>
      <c r="J7" s="2985">
        <f ca="1">INDIRECT("h"&amp;$H$1)</f>
        <v>4.9000000000000004</v>
      </c>
      <c r="K7" s="2971"/>
      <c r="L7" s="2971"/>
      <c r="M7" s="2986">
        <v>5</v>
      </c>
      <c r="N7" s="2987">
        <f ca="1">INDIRECT("t"&amp;$N$1)</f>
        <v>0</v>
      </c>
      <c r="O7" s="2971"/>
      <c r="P7" s="2971"/>
      <c r="Q7" s="2971"/>
      <c r="R7" s="2971"/>
      <c r="S7" s="2971"/>
      <c r="T7" s="2971"/>
      <c r="U7" s="2971"/>
      <c r="V7" s="2971"/>
      <c r="W7" s="2971"/>
      <c r="X7" s="2971"/>
      <c r="Y7" s="2971"/>
      <c r="Z7" s="2971"/>
      <c r="AA7" s="2971"/>
      <c r="AB7" s="2971"/>
      <c r="AC7" s="2971"/>
      <c r="AD7" s="2971"/>
      <c r="AE7" s="2971"/>
      <c r="AF7" s="2971"/>
      <c r="AG7" s="2971"/>
      <c r="AH7" s="2971"/>
      <c r="AI7" s="2971"/>
      <c r="AJ7" s="2971"/>
      <c r="AK7" s="2971"/>
      <c r="AL7" s="2971"/>
      <c r="AM7" s="2971"/>
      <c r="AN7" s="2971"/>
      <c r="AO7" s="2971"/>
      <c r="AP7" s="2971"/>
      <c r="AQ7" s="2971"/>
      <c r="AR7" s="2971"/>
      <c r="AS7" s="2971"/>
      <c r="AT7" s="2971"/>
      <c r="AU7" s="2971"/>
      <c r="AV7" s="2971"/>
      <c r="AW7" s="2971"/>
      <c r="AX7" s="2971"/>
      <c r="AY7" s="2971"/>
      <c r="AZ7" s="2971"/>
      <c r="BA7" s="2971"/>
      <c r="BB7" s="2971"/>
      <c r="BC7" s="2971"/>
      <c r="BD7" s="2971"/>
      <c r="BE7" s="2971"/>
      <c r="BF7" s="2971"/>
      <c r="BG7" s="2971"/>
      <c r="BH7" s="2971"/>
      <c r="BI7" s="2971"/>
      <c r="BJ7" s="2971"/>
      <c r="BK7" s="2971"/>
      <c r="BL7" s="2971"/>
      <c r="BM7" s="2971"/>
      <c r="BN7" s="2971"/>
      <c r="BO7" s="2971"/>
      <c r="BP7" s="2971"/>
      <c r="BQ7" s="2971"/>
      <c r="BR7" s="2971"/>
      <c r="BS7" s="2971"/>
      <c r="BT7" s="2971"/>
      <c r="BU7" s="2971"/>
      <c r="BV7" s="2971"/>
      <c r="BW7" s="2971"/>
      <c r="BX7" s="2971"/>
      <c r="BY7" s="2971"/>
      <c r="BZ7" s="2971"/>
      <c r="CA7" s="2971"/>
      <c r="CB7" s="2971"/>
      <c r="CC7" s="2971"/>
      <c r="CD7" s="2971"/>
      <c r="CE7" s="2971"/>
      <c r="CF7" s="2971"/>
      <c r="CG7" s="2971"/>
      <c r="CH7" s="2971"/>
      <c r="CI7" s="2971"/>
      <c r="CJ7" s="2971"/>
      <c r="CK7" s="2971"/>
      <c r="CL7" s="2971"/>
      <c r="CM7" s="2971"/>
      <c r="CN7" s="2971"/>
      <c r="CO7" s="2971"/>
      <c r="CP7" s="2971"/>
      <c r="CQ7" s="2971"/>
      <c r="CR7" s="2971"/>
      <c r="CS7" s="2971"/>
      <c r="CT7" s="2971"/>
      <c r="CU7" s="2971"/>
      <c r="CV7" s="2971"/>
      <c r="CW7" s="2971"/>
      <c r="CX7" s="2971"/>
      <c r="CY7" s="2971"/>
      <c r="CZ7" s="2971"/>
      <c r="DA7" s="2971"/>
      <c r="DB7" s="2971"/>
      <c r="DC7" s="2971"/>
      <c r="DD7" s="2971"/>
      <c r="DE7" s="2971"/>
      <c r="DF7" s="2971"/>
      <c r="DG7" s="2971"/>
      <c r="DH7" s="2971"/>
      <c r="DI7" s="2971"/>
      <c r="DJ7" s="2971"/>
      <c r="DK7" s="2971"/>
      <c r="DL7" s="2971"/>
      <c r="DM7" s="2971"/>
      <c r="DN7" s="2971"/>
      <c r="DO7" s="2971"/>
      <c r="DP7" s="2971"/>
      <c r="DQ7" s="2971"/>
      <c r="DR7" s="2971"/>
      <c r="DS7" s="2971"/>
      <c r="DT7" s="2971"/>
      <c r="DU7" s="2971"/>
      <c r="DV7" s="2971"/>
      <c r="DW7" s="2971"/>
      <c r="DX7" s="2971"/>
      <c r="DY7" s="2971"/>
      <c r="DZ7" s="2971"/>
      <c r="EA7" s="2971"/>
      <c r="EB7" s="2971"/>
      <c r="EC7" s="2971"/>
      <c r="ED7" s="2971"/>
      <c r="EE7" s="2971"/>
      <c r="EF7" s="2971"/>
      <c r="EG7" s="2971"/>
      <c r="EH7" s="2971"/>
      <c r="EI7" s="2971"/>
      <c r="EJ7" s="2971"/>
      <c r="EK7" s="2971"/>
      <c r="EL7" s="2971"/>
      <c r="EM7" s="2971"/>
      <c r="EN7" s="2971"/>
      <c r="EO7" s="2971"/>
      <c r="EP7" s="2971"/>
      <c r="EQ7" s="2971"/>
      <c r="ER7" s="2971"/>
      <c r="ES7" s="2971"/>
      <c r="ET7" s="2971"/>
      <c r="EU7" s="2971"/>
      <c r="EV7" s="2971"/>
      <c r="EW7" s="2971"/>
      <c r="EX7" s="2971"/>
      <c r="EY7" s="2971"/>
      <c r="EZ7" s="2971"/>
      <c r="FA7" s="2971"/>
      <c r="FB7" s="2971"/>
      <c r="FC7" s="2971"/>
      <c r="FD7" s="2971"/>
      <c r="FE7" s="2971"/>
      <c r="FF7" s="2971"/>
      <c r="FG7" s="2971"/>
      <c r="FH7" s="2971"/>
      <c r="FI7" s="2971"/>
      <c r="FJ7" s="2971"/>
      <c r="FK7" s="2971"/>
      <c r="FL7" s="2971"/>
      <c r="FM7" s="2971"/>
      <c r="FN7" s="2971"/>
      <c r="FO7" s="2971"/>
      <c r="FP7" s="2971"/>
      <c r="FQ7" s="2971"/>
      <c r="FR7" s="2971"/>
      <c r="FS7" s="2971"/>
      <c r="FT7" s="2971"/>
      <c r="FU7" s="2971"/>
      <c r="FV7" s="2971"/>
      <c r="FW7" s="2971"/>
      <c r="FX7" s="2971"/>
      <c r="FY7" s="2971"/>
      <c r="FZ7" s="2971"/>
      <c r="GA7" s="2971"/>
      <c r="GB7" s="2971"/>
      <c r="GC7" s="2971"/>
      <c r="GD7" s="2971"/>
      <c r="GE7" s="2971"/>
      <c r="GF7" s="2971"/>
      <c r="GG7" s="2971"/>
      <c r="GH7" s="2971"/>
      <c r="GI7" s="2971"/>
      <c r="GJ7" s="2971"/>
      <c r="GK7" s="2971"/>
      <c r="GL7" s="2971"/>
      <c r="GM7" s="2971"/>
      <c r="GN7" s="2971"/>
      <c r="GO7" s="2971"/>
      <c r="GP7" s="2971"/>
      <c r="GQ7" s="2971"/>
      <c r="GR7" s="2971"/>
      <c r="GS7" s="2971"/>
      <c r="GT7" s="2971"/>
      <c r="GU7" s="2971"/>
      <c r="GV7" s="2971"/>
      <c r="GW7" s="2971"/>
      <c r="GX7" s="2971"/>
      <c r="GY7" s="2971"/>
      <c r="GZ7" s="2971"/>
      <c r="HA7" s="2971"/>
      <c r="HB7" s="2971"/>
      <c r="HC7" s="2971"/>
      <c r="HD7" s="2971"/>
      <c r="HE7" s="2971"/>
      <c r="HF7" s="2971"/>
      <c r="HG7" s="2971"/>
      <c r="HH7" s="2971"/>
      <c r="HI7" s="2971"/>
      <c r="HJ7" s="2971"/>
      <c r="HK7" s="2971"/>
      <c r="HL7" s="2971"/>
      <c r="HM7" s="2971"/>
      <c r="HN7" s="2971"/>
      <c r="HO7" s="2971"/>
      <c r="HP7" s="2971"/>
      <c r="HQ7" s="2971"/>
      <c r="HR7" s="2971"/>
      <c r="HS7" s="2971"/>
      <c r="HT7" s="2971"/>
      <c r="HU7" s="2971"/>
      <c r="HV7" s="2971"/>
      <c r="HW7" s="2971"/>
      <c r="HX7" s="2971"/>
      <c r="HY7" s="2971"/>
      <c r="HZ7" s="2971"/>
      <c r="IA7" s="2971"/>
      <c r="IB7" s="2971"/>
      <c r="IC7" s="2971"/>
      <c r="ID7" s="2971"/>
      <c r="IE7" s="2971"/>
      <c r="IF7" s="2971"/>
      <c r="IG7" s="2971"/>
      <c r="IH7" s="2971"/>
      <c r="II7" s="2971"/>
      <c r="IJ7" s="2971"/>
      <c r="IK7" s="2971"/>
      <c r="IL7" s="2971"/>
      <c r="IM7" s="2971"/>
      <c r="IN7" s="2971"/>
      <c r="IO7" s="2971"/>
      <c r="IP7" s="2971"/>
      <c r="IQ7" s="2971"/>
      <c r="IR7" s="2971"/>
      <c r="IS7" s="2971"/>
      <c r="IT7" s="2971"/>
      <c r="IU7" s="2971"/>
      <c r="IV7" s="2971"/>
    </row>
    <row r="8" spans="1:257">
      <c r="A8" s="2988"/>
      <c r="B8" s="2989"/>
      <c r="C8" s="2990"/>
      <c r="D8" s="2971"/>
      <c r="E8" s="2971"/>
      <c r="F8" s="2971"/>
      <c r="G8" s="2971"/>
      <c r="H8" s="2971"/>
      <c r="I8" s="2971"/>
      <c r="J8" s="2971"/>
      <c r="L8" s="2971"/>
      <c r="M8" s="2971"/>
      <c r="N8" s="2971"/>
      <c r="O8" s="2971"/>
      <c r="P8" s="2971"/>
      <c r="Q8" s="2971"/>
      <c r="R8" s="2971"/>
      <c r="S8" s="2971"/>
      <c r="T8" s="2971"/>
      <c r="U8" s="2971"/>
      <c r="V8" s="2971"/>
      <c r="W8" s="2971"/>
      <c r="X8" s="2971"/>
      <c r="Y8" s="2971"/>
      <c r="Z8" s="2971"/>
    </row>
    <row r="9" spans="1:257" ht="20.25">
      <c r="A9" s="2991"/>
      <c r="B9" s="2992" t="s">
        <v>2803</v>
      </c>
      <c r="C9" s="2993"/>
      <c r="D9" s="2994"/>
      <c r="E9" s="2994"/>
      <c r="F9" s="2994"/>
      <c r="G9" s="2994"/>
      <c r="H9" s="2994"/>
      <c r="I9" s="2994"/>
      <c r="J9" s="2994"/>
      <c r="K9" s="2994"/>
      <c r="L9" s="2994"/>
      <c r="M9" s="2994"/>
      <c r="N9" s="2994"/>
      <c r="O9" s="2994"/>
      <c r="P9" s="2994"/>
      <c r="Q9" s="2994"/>
      <c r="R9" s="2994"/>
      <c r="S9" s="2994"/>
      <c r="T9" s="2994"/>
      <c r="U9" s="2994"/>
      <c r="V9" s="2994"/>
      <c r="W9" s="2994"/>
      <c r="X9" s="2994"/>
      <c r="Y9" s="2994"/>
      <c r="Z9" s="2994"/>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2995"/>
      <c r="BN9" s="2995"/>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2995"/>
      <c r="CL9" s="2995"/>
      <c r="CM9" s="2995"/>
      <c r="CN9" s="2995"/>
      <c r="CO9" s="2995"/>
      <c r="CP9" s="2995"/>
      <c r="CQ9" s="2995"/>
      <c r="CR9" s="2995"/>
      <c r="CS9" s="2995"/>
      <c r="CT9" s="2995"/>
      <c r="CU9" s="2995"/>
      <c r="CV9" s="2995"/>
      <c r="CW9" s="2995"/>
      <c r="CX9" s="2995"/>
      <c r="CY9" s="2995"/>
      <c r="CZ9" s="2995"/>
      <c r="DA9" s="2995"/>
      <c r="DB9" s="2995"/>
      <c r="DC9" s="2995"/>
      <c r="DD9" s="2995"/>
      <c r="DE9" s="2995"/>
      <c r="DF9" s="2995"/>
      <c r="DG9" s="2995"/>
      <c r="DH9" s="2995"/>
      <c r="DI9" s="2995"/>
      <c r="DJ9" s="2995"/>
      <c r="DK9" s="2995"/>
      <c r="DL9" s="2995"/>
      <c r="DM9" s="2995"/>
      <c r="DN9" s="2995"/>
      <c r="DO9" s="2995"/>
      <c r="DP9" s="2995"/>
      <c r="DQ9" s="2995"/>
      <c r="DR9" s="2995"/>
      <c r="DS9" s="2995"/>
      <c r="DT9" s="2995"/>
      <c r="DU9" s="2995"/>
      <c r="DV9" s="2995"/>
      <c r="DW9" s="2995"/>
      <c r="DX9" s="2995"/>
      <c r="DY9" s="2995"/>
      <c r="DZ9" s="2995"/>
      <c r="EA9" s="2995"/>
      <c r="EB9" s="2995"/>
      <c r="EC9" s="2995"/>
      <c r="ED9" s="2995"/>
      <c r="EE9" s="2995"/>
      <c r="EF9" s="2995"/>
      <c r="EG9" s="2995"/>
      <c r="EH9" s="2995"/>
      <c r="EI9" s="2995"/>
      <c r="EJ9" s="2995"/>
      <c r="EK9" s="2995"/>
      <c r="EL9" s="2995"/>
      <c r="EM9" s="2995"/>
      <c r="EN9" s="2995"/>
      <c r="EO9" s="2995"/>
      <c r="EP9" s="2995"/>
      <c r="EQ9" s="2995"/>
      <c r="ER9" s="2995"/>
      <c r="ES9" s="2995"/>
      <c r="ET9" s="2995"/>
      <c r="EU9" s="2995"/>
      <c r="EV9" s="2995"/>
      <c r="EW9" s="2995"/>
      <c r="EX9" s="2995"/>
      <c r="EY9" s="2995"/>
      <c r="EZ9" s="2995"/>
      <c r="FA9" s="2995"/>
      <c r="FB9" s="2995"/>
      <c r="FC9" s="2995"/>
      <c r="FD9" s="2995"/>
      <c r="FE9" s="2995"/>
      <c r="FF9" s="2995"/>
      <c r="FG9" s="2995"/>
      <c r="FH9" s="2995"/>
      <c r="FI9" s="2995"/>
      <c r="FJ9" s="2995"/>
      <c r="FK9" s="2995"/>
      <c r="FL9" s="2995"/>
      <c r="FM9" s="2995"/>
      <c r="FN9" s="2995"/>
      <c r="FO9" s="2995"/>
      <c r="FP9" s="2995"/>
      <c r="FQ9" s="2995"/>
      <c r="FR9" s="2995"/>
      <c r="FS9" s="2995"/>
      <c r="FT9" s="2995"/>
      <c r="FU9" s="2995"/>
      <c r="FV9" s="2995"/>
      <c r="FW9" s="2995"/>
      <c r="FX9" s="2995"/>
      <c r="FY9" s="2995"/>
      <c r="FZ9" s="2995"/>
      <c r="GA9" s="2995"/>
      <c r="GB9" s="2995"/>
      <c r="GC9" s="2995"/>
      <c r="GD9" s="2995"/>
      <c r="GE9" s="2995"/>
      <c r="GF9" s="2995"/>
      <c r="GG9" s="2995"/>
      <c r="GH9" s="2995"/>
      <c r="GI9" s="2995"/>
      <c r="GJ9" s="2995"/>
      <c r="GK9" s="2995"/>
      <c r="GL9" s="2995"/>
      <c r="GM9" s="2995"/>
      <c r="GN9" s="2995"/>
      <c r="GO9" s="2995"/>
      <c r="GP9" s="2995"/>
      <c r="GQ9" s="2995"/>
      <c r="GR9" s="2995"/>
      <c r="GS9" s="2995"/>
      <c r="GT9" s="2995"/>
      <c r="GU9" s="2995"/>
      <c r="GV9" s="2995"/>
      <c r="GW9" s="2995"/>
      <c r="GX9" s="2995"/>
      <c r="GY9" s="2995"/>
      <c r="GZ9" s="2995"/>
      <c r="HA9" s="2995"/>
      <c r="HB9" s="2995"/>
      <c r="HC9" s="2995"/>
      <c r="HD9" s="2995"/>
      <c r="HE9" s="2995"/>
      <c r="HF9" s="2995"/>
      <c r="HG9" s="2995"/>
      <c r="HH9" s="2995"/>
      <c r="HI9" s="2995"/>
      <c r="HJ9" s="2995"/>
      <c r="HK9" s="2995"/>
      <c r="HL9" s="2995"/>
      <c r="HM9" s="2995"/>
      <c r="HN9" s="2995"/>
      <c r="HO9" s="2995"/>
      <c r="HP9" s="2995"/>
      <c r="HQ9" s="2995"/>
      <c r="HR9" s="2995"/>
      <c r="HS9" s="2995"/>
      <c r="HT9" s="2995"/>
      <c r="HU9" s="2995"/>
      <c r="HV9" s="2995"/>
      <c r="HW9" s="2995"/>
      <c r="HX9" s="2995"/>
      <c r="HY9" s="2995"/>
      <c r="HZ9" s="2995"/>
      <c r="IA9" s="2995"/>
      <c r="IB9" s="2995"/>
      <c r="IC9" s="2995"/>
      <c r="ID9" s="2995"/>
      <c r="IE9" s="2995"/>
      <c r="IF9" s="2995"/>
      <c r="IG9" s="2995"/>
      <c r="IH9" s="2995"/>
      <c r="II9" s="2995"/>
      <c r="IJ9" s="2995"/>
      <c r="IK9" s="2995"/>
      <c r="IL9" s="2995"/>
      <c r="IM9" s="2995"/>
      <c r="IN9" s="2995"/>
      <c r="IO9" s="2995"/>
      <c r="IP9" s="2995"/>
      <c r="IQ9" s="2995"/>
      <c r="IR9" s="2995"/>
      <c r="IS9" s="2995"/>
      <c r="IT9" s="2995"/>
      <c r="IU9" s="2995"/>
      <c r="IV9" s="2995"/>
      <c r="IW9" s="2996"/>
    </row>
    <row r="10" spans="1:257" ht="22.5">
      <c r="A10" s="2997"/>
      <c r="B10" s="2998" t="s">
        <v>2804</v>
      </c>
      <c r="C10" s="2997"/>
      <c r="D10" s="2997"/>
      <c r="E10" s="2997"/>
      <c r="F10" s="2997"/>
      <c r="G10" s="2997"/>
      <c r="H10" s="2997"/>
      <c r="I10" s="2971"/>
      <c r="J10" s="2971"/>
      <c r="K10" s="2997"/>
      <c r="L10" s="2998" t="s">
        <v>2805</v>
      </c>
      <c r="M10" s="2997"/>
      <c r="N10" s="2997"/>
      <c r="O10" s="2997"/>
      <c r="P10" s="2997"/>
      <c r="Q10" s="2997"/>
      <c r="R10" s="2997"/>
      <c r="S10" s="2997"/>
      <c r="T10" s="2997"/>
      <c r="U10" s="2997"/>
      <c r="V10" s="2997"/>
      <c r="W10" s="2997"/>
      <c r="X10" s="2997"/>
      <c r="Y10" s="2997"/>
      <c r="Z10" s="2997"/>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2999"/>
      <c r="FW10" s="2999"/>
      <c r="FX10" s="2999"/>
      <c r="FY10" s="2999"/>
      <c r="FZ10" s="2999"/>
      <c r="GA10" s="2999"/>
      <c r="GB10" s="2999"/>
      <c r="GC10" s="2999"/>
      <c r="GD10" s="2999"/>
      <c r="GE10" s="2999"/>
      <c r="GF10" s="2999"/>
      <c r="GG10" s="2999"/>
      <c r="GH10" s="2999"/>
      <c r="GI10" s="2999"/>
      <c r="GJ10" s="2999"/>
      <c r="GK10" s="2999"/>
      <c r="GL10" s="2999"/>
      <c r="GM10" s="2999"/>
      <c r="GN10" s="2999"/>
      <c r="GO10" s="2999"/>
      <c r="GP10" s="2999"/>
      <c r="GQ10" s="2999"/>
      <c r="GR10" s="2999"/>
      <c r="GS10" s="2999"/>
      <c r="GT10" s="2999"/>
      <c r="GU10" s="2999"/>
      <c r="GV10" s="2999"/>
      <c r="GW10" s="2999"/>
      <c r="GX10" s="2999"/>
      <c r="GY10" s="2999"/>
      <c r="GZ10" s="2999"/>
      <c r="HA10" s="2999"/>
      <c r="HB10" s="2999"/>
      <c r="HC10" s="2999"/>
      <c r="HD10" s="2999"/>
      <c r="HE10" s="2999"/>
      <c r="HF10" s="2999"/>
      <c r="HG10" s="2999"/>
      <c r="HH10" s="2999"/>
      <c r="HI10" s="2999"/>
      <c r="HJ10" s="2999"/>
      <c r="HK10" s="2999"/>
      <c r="HL10" s="2999"/>
      <c r="HM10" s="2999"/>
      <c r="HN10" s="2999"/>
      <c r="HO10" s="2999"/>
      <c r="HP10" s="2999"/>
      <c r="HQ10" s="2999"/>
      <c r="HR10" s="2999"/>
      <c r="HS10" s="2999"/>
      <c r="HT10" s="2999"/>
      <c r="HU10" s="2999"/>
      <c r="HV10" s="2999"/>
      <c r="HW10" s="2999"/>
      <c r="HX10" s="2999"/>
      <c r="HY10" s="2999"/>
      <c r="HZ10" s="2999"/>
      <c r="IA10" s="2999"/>
      <c r="IB10" s="2999"/>
      <c r="IC10" s="2999"/>
      <c r="ID10" s="2999"/>
      <c r="IE10" s="2999"/>
      <c r="IF10" s="2999"/>
      <c r="IG10" s="2999"/>
      <c r="IH10" s="2999"/>
      <c r="II10" s="2999"/>
      <c r="IJ10" s="2999"/>
      <c r="IK10" s="2999"/>
      <c r="IL10" s="2999"/>
      <c r="IM10" s="2999"/>
      <c r="IN10" s="2999"/>
      <c r="IO10" s="2999"/>
      <c r="IP10" s="2999"/>
      <c r="IQ10" s="2999"/>
      <c r="IR10" s="2999"/>
      <c r="IS10" s="2999"/>
      <c r="IT10" s="2999"/>
      <c r="IU10" s="2999"/>
      <c r="IV10" s="2999"/>
    </row>
    <row r="11" spans="1:257">
      <c r="A11" s="3000"/>
      <c r="B11" s="3001" t="s">
        <v>2806</v>
      </c>
      <c r="C11" s="3002" t="s">
        <v>2807</v>
      </c>
      <c r="D11" s="3003" t="s">
        <v>2808</v>
      </c>
      <c r="E11" s="3004"/>
      <c r="F11" s="3003" t="s">
        <v>2809</v>
      </c>
      <c r="G11" s="3005"/>
      <c r="H11" s="3004"/>
      <c r="I11" s="3003" t="s">
        <v>2810</v>
      </c>
      <c r="J11" s="3004"/>
      <c r="K11" s="3000"/>
      <c r="L11" s="3001" t="s">
        <v>2806</v>
      </c>
      <c r="M11" s="3002" t="s">
        <v>2807</v>
      </c>
      <c r="N11" s="3001" t="s">
        <v>2811</v>
      </c>
      <c r="O11" s="3003" t="s">
        <v>2812</v>
      </c>
      <c r="P11" s="3005"/>
      <c r="Q11" s="3005"/>
      <c r="R11" s="3005"/>
      <c r="S11" s="3005"/>
      <c r="T11" s="3004"/>
      <c r="U11" s="3003" t="s">
        <v>2813</v>
      </c>
      <c r="V11" s="3005"/>
      <c r="W11" s="3004"/>
      <c r="X11" s="3001" t="s">
        <v>2814</v>
      </c>
      <c r="Y11" s="3001" t="s">
        <v>2815</v>
      </c>
      <c r="Z11" s="3001" t="s">
        <v>2816</v>
      </c>
      <c r="AA11" s="3006"/>
      <c r="AB11" s="3006"/>
      <c r="AC11" s="3006"/>
      <c r="AD11" s="3006"/>
      <c r="AE11" s="3006"/>
      <c r="AF11" s="3006"/>
      <c r="AG11" s="3006"/>
      <c r="AH11" s="3006"/>
      <c r="AI11" s="3006"/>
      <c r="AJ11" s="3006"/>
      <c r="AK11" s="3006"/>
      <c r="AL11" s="3006"/>
      <c r="AM11" s="3006"/>
      <c r="AN11" s="3006"/>
      <c r="AO11" s="3006"/>
      <c r="AP11" s="3006"/>
      <c r="AQ11" s="3006"/>
      <c r="AR11" s="3006"/>
      <c r="AS11" s="3006"/>
      <c r="AT11" s="3006"/>
      <c r="AU11" s="3006"/>
      <c r="AV11" s="3006"/>
      <c r="AW11" s="3006"/>
      <c r="AX11" s="3006"/>
      <c r="AY11" s="3006"/>
      <c r="AZ11" s="3006"/>
      <c r="BA11" s="3006"/>
      <c r="BB11" s="3006"/>
      <c r="BC11" s="3006"/>
      <c r="BD11" s="3006"/>
      <c r="BE11" s="3006"/>
      <c r="BF11" s="3006"/>
      <c r="BG11" s="3006"/>
      <c r="BH11" s="3006"/>
      <c r="BI11" s="3006"/>
      <c r="BJ11" s="3006"/>
      <c r="BK11" s="3006"/>
      <c r="BL11" s="3006"/>
      <c r="BM11" s="3006"/>
      <c r="BN11" s="3006"/>
      <c r="BO11" s="3006"/>
      <c r="BP11" s="3006"/>
      <c r="BQ11" s="3006"/>
      <c r="BR11" s="3006"/>
      <c r="BS11" s="3006"/>
      <c r="BT11" s="3006"/>
      <c r="BU11" s="3006"/>
      <c r="BV11" s="3006"/>
      <c r="BW11" s="3006"/>
      <c r="BX11" s="3006"/>
      <c r="BY11" s="3006"/>
      <c r="BZ11" s="3006"/>
      <c r="CA11" s="3006"/>
      <c r="CB11" s="3006"/>
      <c r="CC11" s="3006"/>
      <c r="CD11" s="3006"/>
      <c r="CE11" s="3006"/>
      <c r="CF11" s="3006"/>
      <c r="CG11" s="3006"/>
      <c r="CH11" s="3006"/>
      <c r="CI11" s="3006"/>
      <c r="CJ11" s="3006"/>
      <c r="CK11" s="3006"/>
      <c r="CL11" s="3006"/>
      <c r="CM11" s="3006"/>
      <c r="CN11" s="3006"/>
      <c r="CO11" s="3006"/>
      <c r="CP11" s="3006"/>
      <c r="CQ11" s="3006"/>
      <c r="CR11" s="3006"/>
      <c r="CS11" s="3006"/>
      <c r="CT11" s="3006"/>
      <c r="CU11" s="3006"/>
      <c r="CV11" s="3006"/>
      <c r="CW11" s="3006"/>
      <c r="CX11" s="3006"/>
      <c r="CY11" s="3006"/>
      <c r="CZ11" s="3006"/>
      <c r="DA11" s="3006"/>
      <c r="DB11" s="3006"/>
      <c r="DC11" s="3006"/>
      <c r="DD11" s="3006"/>
      <c r="DE11" s="3006"/>
      <c r="DF11" s="3006"/>
      <c r="DG11" s="3006"/>
      <c r="DH11" s="3006"/>
      <c r="DI11" s="3006"/>
      <c r="DJ11" s="3006"/>
      <c r="DK11" s="3006"/>
      <c r="DL11" s="3006"/>
      <c r="DM11" s="3006"/>
      <c r="DN11" s="3006"/>
      <c r="DO11" s="3006"/>
      <c r="DP11" s="3006"/>
      <c r="DQ11" s="3006"/>
      <c r="DR11" s="3006"/>
      <c r="DS11" s="3006"/>
      <c r="DT11" s="3006"/>
      <c r="DU11" s="3006"/>
      <c r="DV11" s="3006"/>
      <c r="DW11" s="3006"/>
      <c r="DX11" s="3006"/>
      <c r="DY11" s="3006"/>
      <c r="DZ11" s="3006"/>
      <c r="EA11" s="3006"/>
      <c r="EB11" s="3006"/>
      <c r="EC11" s="3006"/>
      <c r="ED11" s="3006"/>
      <c r="EE11" s="3006"/>
      <c r="EF11" s="3006"/>
      <c r="EG11" s="3006"/>
      <c r="EH11" s="3006"/>
      <c r="EI11" s="3006"/>
      <c r="EJ11" s="3006"/>
      <c r="EK11" s="3006"/>
      <c r="EL11" s="3006"/>
      <c r="EM11" s="3006"/>
      <c r="EN11" s="3006"/>
      <c r="EO11" s="3006"/>
      <c r="EP11" s="3006"/>
      <c r="EQ11" s="3006"/>
      <c r="ER11" s="3006"/>
      <c r="ES11" s="3006"/>
      <c r="ET11" s="3006"/>
      <c r="EU11" s="3006"/>
      <c r="EV11" s="3006"/>
      <c r="EW11" s="3006"/>
      <c r="EX11" s="3006"/>
      <c r="EY11" s="3006"/>
      <c r="EZ11" s="3006"/>
      <c r="FA11" s="3006"/>
      <c r="FB11" s="3006"/>
      <c r="FC11" s="3006"/>
      <c r="FD11" s="3006"/>
      <c r="FE11" s="3006"/>
      <c r="FF11" s="3006"/>
      <c r="FG11" s="3006"/>
      <c r="FH11" s="3006"/>
      <c r="FI11" s="3006"/>
      <c r="FJ11" s="3006"/>
      <c r="FK11" s="3006"/>
      <c r="FL11" s="3006"/>
      <c r="FM11" s="3006"/>
      <c r="FN11" s="3006"/>
      <c r="FO11" s="3006"/>
      <c r="FP11" s="3006"/>
      <c r="FQ11" s="3006"/>
      <c r="FR11" s="3006"/>
      <c r="FS11" s="3006"/>
      <c r="FT11" s="3006"/>
      <c r="FU11" s="3006"/>
      <c r="FV11" s="3006"/>
      <c r="FW11" s="3006"/>
      <c r="FX11" s="3006"/>
      <c r="FY11" s="3006"/>
      <c r="FZ11" s="3006"/>
      <c r="GA11" s="3006"/>
      <c r="GB11" s="3006"/>
      <c r="GC11" s="3006"/>
      <c r="GD11" s="3006"/>
      <c r="GE11" s="3006"/>
      <c r="GF11" s="3006"/>
      <c r="GG11" s="3006"/>
      <c r="GH11" s="3006"/>
      <c r="GI11" s="3006"/>
      <c r="GJ11" s="3006"/>
      <c r="GK11" s="3006"/>
      <c r="GL11" s="3006"/>
      <c r="GM11" s="3006"/>
      <c r="GN11" s="3006"/>
      <c r="GO11" s="3006"/>
      <c r="GP11" s="3006"/>
      <c r="GQ11" s="3006"/>
      <c r="GR11" s="3006"/>
      <c r="GS11" s="3006"/>
      <c r="GT11" s="3006"/>
      <c r="GU11" s="3006"/>
      <c r="GV11" s="3006"/>
      <c r="GW11" s="3006"/>
      <c r="GX11" s="3006"/>
      <c r="GY11" s="3006"/>
      <c r="GZ11" s="3006"/>
      <c r="HA11" s="3006"/>
      <c r="HB11" s="3006"/>
      <c r="HC11" s="3006"/>
      <c r="HD11" s="3006"/>
      <c r="HE11" s="3006"/>
      <c r="HF11" s="3006"/>
      <c r="HG11" s="3006"/>
      <c r="HH11" s="3006"/>
      <c r="HI11" s="3006"/>
      <c r="HJ11" s="3006"/>
      <c r="HK11" s="3006"/>
      <c r="HL11" s="3006"/>
      <c r="HM11" s="3006"/>
      <c r="HN11" s="3006"/>
      <c r="HO11" s="3006"/>
      <c r="HP11" s="3006"/>
      <c r="HQ11" s="3006"/>
      <c r="HR11" s="3006"/>
      <c r="HS11" s="3006"/>
      <c r="HT11" s="3006"/>
      <c r="HU11" s="3006"/>
      <c r="HV11" s="3006"/>
      <c r="HW11" s="3006"/>
      <c r="HX11" s="3006"/>
      <c r="HY11" s="3006"/>
      <c r="HZ11" s="3006"/>
      <c r="IA11" s="3006"/>
      <c r="IB11" s="3006"/>
      <c r="IC11" s="3006"/>
      <c r="ID11" s="3006"/>
      <c r="IE11" s="3006"/>
      <c r="IF11" s="3006"/>
      <c r="IG11" s="3006"/>
      <c r="IH11" s="3006"/>
      <c r="II11" s="3006"/>
      <c r="IJ11" s="3006"/>
      <c r="IK11" s="3006"/>
      <c r="IL11" s="3006"/>
      <c r="IM11" s="3006"/>
      <c r="IN11" s="3006"/>
      <c r="IO11" s="3006"/>
      <c r="IP11" s="3006"/>
      <c r="IQ11" s="3006"/>
      <c r="IR11" s="3006"/>
      <c r="IS11" s="3006"/>
      <c r="IT11" s="3006"/>
      <c r="IU11" s="3006"/>
      <c r="IV11" s="3006"/>
    </row>
    <row r="12" spans="1:257">
      <c r="A12" s="3007"/>
      <c r="B12" s="3008"/>
      <c r="C12" s="3009"/>
      <c r="D12" s="3010" t="s">
        <v>2817</v>
      </c>
      <c r="E12" s="3010" t="s">
        <v>2818</v>
      </c>
      <c r="F12" s="3010" t="s">
        <v>2819</v>
      </c>
      <c r="G12" s="3010" t="s">
        <v>2820</v>
      </c>
      <c r="H12" s="3010" t="s">
        <v>2802</v>
      </c>
      <c r="I12" s="3011" t="s">
        <v>2821</v>
      </c>
      <c r="J12" s="3011" t="s">
        <v>2821</v>
      </c>
      <c r="K12" s="3007"/>
      <c r="L12" s="3008"/>
      <c r="M12" s="3009"/>
      <c r="N12" s="3008"/>
      <c r="O12" s="3011" t="s">
        <v>2822</v>
      </c>
      <c r="P12" s="3011">
        <v>0.5</v>
      </c>
      <c r="Q12" s="3011">
        <v>1</v>
      </c>
      <c r="R12" s="3011">
        <v>2</v>
      </c>
      <c r="S12" s="3011">
        <v>3</v>
      </c>
      <c r="T12" s="3011">
        <v>5</v>
      </c>
      <c r="U12" s="3011">
        <v>1</v>
      </c>
      <c r="V12" s="3011">
        <v>3</v>
      </c>
      <c r="W12" s="3011">
        <v>5</v>
      </c>
      <c r="X12" s="3008"/>
      <c r="Y12" s="3008"/>
      <c r="Z12" s="3008"/>
      <c r="AA12" s="3012"/>
      <c r="AB12" s="3012"/>
      <c r="AC12" s="3012"/>
      <c r="AD12" s="3012"/>
      <c r="AE12" s="3012"/>
      <c r="AF12" s="3012"/>
      <c r="AG12" s="3012"/>
      <c r="AH12" s="3012"/>
      <c r="AI12" s="3012"/>
      <c r="AJ12" s="3012"/>
      <c r="AK12" s="3012"/>
      <c r="AL12" s="3012"/>
      <c r="AM12" s="3012"/>
      <c r="AN12" s="3012"/>
      <c r="AO12" s="3012"/>
      <c r="AP12" s="3012"/>
      <c r="AQ12" s="3012"/>
      <c r="AR12" s="3012"/>
      <c r="AS12" s="3012"/>
      <c r="AT12" s="3012"/>
      <c r="AU12" s="3012"/>
      <c r="AV12" s="3012"/>
      <c r="AW12" s="3012"/>
      <c r="AX12" s="3012"/>
      <c r="AY12" s="3012"/>
      <c r="AZ12" s="3012"/>
      <c r="BA12" s="3012"/>
      <c r="BB12" s="3012"/>
      <c r="BC12" s="3012"/>
      <c r="BD12" s="3012"/>
      <c r="BE12" s="3012"/>
      <c r="BF12" s="3012"/>
      <c r="BG12" s="3012"/>
      <c r="BH12" s="3012"/>
      <c r="BI12" s="3012"/>
      <c r="BJ12" s="3012"/>
      <c r="BK12" s="3012"/>
      <c r="BL12" s="3012"/>
      <c r="BM12" s="3012"/>
      <c r="BN12" s="3012"/>
      <c r="BO12" s="3012"/>
      <c r="BP12" s="3012"/>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2"/>
      <c r="CU12" s="3012"/>
      <c r="CV12" s="3012"/>
      <c r="CW12" s="3012"/>
      <c r="CX12" s="3012"/>
      <c r="CY12" s="3012"/>
      <c r="CZ12" s="3012"/>
      <c r="DA12" s="3012"/>
      <c r="DB12" s="3012"/>
      <c r="DC12" s="3012"/>
      <c r="DD12" s="3012"/>
      <c r="DE12" s="3012"/>
      <c r="DF12" s="3012"/>
      <c r="DG12" s="3012"/>
      <c r="DH12" s="3012"/>
      <c r="DI12" s="3012"/>
      <c r="DJ12" s="3012"/>
      <c r="DK12" s="3012"/>
      <c r="DL12" s="3012"/>
      <c r="DM12" s="3012"/>
      <c r="DN12" s="3012"/>
      <c r="DO12" s="3012"/>
      <c r="DP12" s="3012"/>
      <c r="DQ12" s="3012"/>
      <c r="DR12" s="3012"/>
      <c r="DS12" s="3012"/>
      <c r="DT12" s="3012"/>
      <c r="DU12" s="3012"/>
      <c r="DV12" s="3012"/>
      <c r="DW12" s="3012"/>
      <c r="DX12" s="3012"/>
      <c r="DY12" s="3012"/>
      <c r="DZ12" s="3012"/>
      <c r="EA12" s="3012"/>
      <c r="EB12" s="3012"/>
      <c r="EC12" s="3012"/>
      <c r="ED12" s="3012"/>
      <c r="EE12" s="3012"/>
      <c r="EF12" s="3012"/>
      <c r="EG12" s="3012"/>
      <c r="EH12" s="3012"/>
      <c r="EI12" s="3012"/>
      <c r="EJ12" s="3012"/>
      <c r="EK12" s="3012"/>
      <c r="EL12" s="3012"/>
      <c r="EM12" s="3012"/>
      <c r="EN12" s="3012"/>
      <c r="EO12" s="3012"/>
      <c r="EP12" s="3012"/>
      <c r="EQ12" s="3012"/>
      <c r="ER12" s="3012"/>
      <c r="ES12" s="3012"/>
      <c r="ET12" s="3012"/>
      <c r="EU12" s="3012"/>
      <c r="EV12" s="3012"/>
      <c r="EW12" s="3012"/>
      <c r="EX12" s="3012"/>
      <c r="EY12" s="3012"/>
      <c r="EZ12" s="3012"/>
      <c r="FA12" s="3012"/>
      <c r="FB12" s="3012"/>
      <c r="FC12" s="3012"/>
      <c r="FD12" s="3012"/>
      <c r="FE12" s="3012"/>
      <c r="FF12" s="3012"/>
      <c r="FG12" s="3012"/>
      <c r="FH12" s="3012"/>
      <c r="FI12" s="3012"/>
      <c r="FJ12" s="3012"/>
      <c r="FK12" s="3012"/>
      <c r="FL12" s="3012"/>
      <c r="FM12" s="3012"/>
      <c r="FN12" s="3012"/>
      <c r="FO12" s="3012"/>
      <c r="FP12" s="3012"/>
      <c r="FQ12" s="3012"/>
      <c r="FR12" s="3012"/>
      <c r="FS12" s="3012"/>
      <c r="FT12" s="3012"/>
      <c r="FU12" s="3012"/>
      <c r="FV12" s="3012"/>
      <c r="FW12" s="3012"/>
      <c r="FX12" s="3012"/>
      <c r="FY12" s="3012"/>
      <c r="FZ12" s="3012"/>
      <c r="GA12" s="3012"/>
      <c r="GB12" s="3012"/>
      <c r="GC12" s="3012"/>
      <c r="GD12" s="3012"/>
      <c r="GE12" s="3012"/>
      <c r="GF12" s="3012"/>
      <c r="GG12" s="3012"/>
      <c r="GH12" s="3012"/>
      <c r="GI12" s="3012"/>
      <c r="GJ12" s="3012"/>
      <c r="GK12" s="3012"/>
      <c r="GL12" s="3012"/>
      <c r="GM12" s="3012"/>
      <c r="GN12" s="3012"/>
      <c r="GO12" s="3012"/>
      <c r="GP12" s="3012"/>
      <c r="GQ12" s="3012"/>
      <c r="GR12" s="3012"/>
      <c r="GS12" s="3012"/>
      <c r="GT12" s="3012"/>
      <c r="GU12" s="3012"/>
      <c r="GV12" s="3012"/>
      <c r="GW12" s="3012"/>
      <c r="GX12" s="3012"/>
      <c r="GY12" s="3012"/>
      <c r="GZ12" s="3012"/>
      <c r="HA12" s="3012"/>
      <c r="HB12" s="3012"/>
      <c r="HC12" s="3012"/>
      <c r="HD12" s="3012"/>
      <c r="HE12" s="3012"/>
      <c r="HF12" s="3012"/>
      <c r="HG12" s="3012"/>
      <c r="HH12" s="3012"/>
      <c r="HI12" s="3012"/>
      <c r="HJ12" s="3012"/>
      <c r="HK12" s="3012"/>
      <c r="HL12" s="3012"/>
      <c r="HM12" s="3012"/>
      <c r="HN12" s="3012"/>
      <c r="HO12" s="3012"/>
      <c r="HP12" s="3012"/>
      <c r="HQ12" s="3012"/>
      <c r="HR12" s="3012"/>
      <c r="HS12" s="3012"/>
      <c r="HT12" s="3012"/>
      <c r="HU12" s="3012"/>
      <c r="HV12" s="3012"/>
      <c r="HW12" s="3012"/>
      <c r="HX12" s="3012"/>
      <c r="HY12" s="3012"/>
      <c r="HZ12" s="3012"/>
      <c r="IA12" s="3012"/>
      <c r="IB12" s="3012"/>
      <c r="IC12" s="3012"/>
      <c r="ID12" s="3012"/>
      <c r="IE12" s="3012"/>
      <c r="IF12" s="3012"/>
      <c r="IG12" s="3012"/>
      <c r="IH12" s="3012"/>
      <c r="II12" s="3012"/>
      <c r="IJ12" s="3012"/>
      <c r="IK12" s="3012"/>
      <c r="IL12" s="3012"/>
      <c r="IM12" s="3012"/>
      <c r="IN12" s="3012"/>
      <c r="IO12" s="3012"/>
      <c r="IP12" s="3012"/>
      <c r="IQ12" s="3012"/>
      <c r="IR12" s="3012"/>
      <c r="IS12" s="3012"/>
      <c r="IT12" s="3012"/>
      <c r="IU12" s="3012"/>
      <c r="IV12" s="3012"/>
    </row>
    <row r="13" spans="1:257" ht="14.25">
      <c r="A13" s="3013"/>
      <c r="B13" s="3014" t="s">
        <v>2823</v>
      </c>
      <c r="C13" s="3015">
        <v>42301</v>
      </c>
      <c r="D13" s="3016">
        <v>4.3499999999999996</v>
      </c>
      <c r="E13" s="3016">
        <v>4.3499999999999996</v>
      </c>
      <c r="F13" s="3016">
        <v>4.75</v>
      </c>
      <c r="G13" s="3016">
        <v>4.75</v>
      </c>
      <c r="H13" s="3016">
        <v>4.9000000000000004</v>
      </c>
      <c r="I13" s="3016">
        <v>2.75</v>
      </c>
      <c r="J13" s="3016">
        <v>3.25</v>
      </c>
      <c r="K13" s="3013"/>
      <c r="L13" s="3014" t="s">
        <v>2823</v>
      </c>
      <c r="M13" s="3017">
        <v>42301</v>
      </c>
      <c r="N13" s="3016">
        <v>0.35</v>
      </c>
      <c r="O13" s="3016">
        <v>1.1000000000000001</v>
      </c>
      <c r="P13" s="3016">
        <v>1.3</v>
      </c>
      <c r="Q13" s="3016">
        <v>1.5</v>
      </c>
      <c r="R13" s="3016">
        <v>2.1</v>
      </c>
      <c r="S13" s="3016">
        <v>2.75</v>
      </c>
      <c r="T13" s="3016"/>
      <c r="U13" s="3016"/>
      <c r="V13" s="3016"/>
      <c r="W13" s="3016"/>
      <c r="X13" s="3016"/>
      <c r="Y13" s="3016"/>
      <c r="Z13" s="3016"/>
      <c r="AA13" s="3018"/>
      <c r="AB13" s="3018"/>
      <c r="AC13" s="3018"/>
      <c r="AD13" s="3018"/>
      <c r="AE13" s="3018"/>
      <c r="AF13" s="3018"/>
      <c r="AG13" s="3018"/>
      <c r="AH13" s="3018"/>
      <c r="AI13" s="3018"/>
      <c r="AJ13" s="3018"/>
      <c r="AK13" s="3018"/>
      <c r="AL13" s="3018"/>
      <c r="AM13" s="3018"/>
      <c r="AN13" s="3018"/>
      <c r="AO13" s="3018"/>
      <c r="AP13" s="3018"/>
      <c r="AQ13" s="3018"/>
      <c r="AR13" s="3018"/>
      <c r="AS13" s="3018"/>
      <c r="AT13" s="3018"/>
      <c r="AU13" s="3018"/>
      <c r="AV13" s="3018"/>
      <c r="AW13" s="3018"/>
      <c r="AX13" s="3018"/>
      <c r="AY13" s="3018"/>
      <c r="AZ13" s="3018"/>
      <c r="BA13" s="3018"/>
      <c r="BB13" s="3018"/>
      <c r="BC13" s="3018"/>
      <c r="BD13" s="3018"/>
      <c r="BE13" s="3018"/>
      <c r="BF13" s="3018"/>
      <c r="BG13" s="3018"/>
      <c r="BH13" s="3018"/>
      <c r="BI13" s="3018"/>
      <c r="BJ13" s="3018"/>
      <c r="BK13" s="3018"/>
      <c r="BL13" s="3018"/>
      <c r="BM13" s="3018"/>
      <c r="BN13" s="3018"/>
      <c r="BO13" s="3018"/>
      <c r="BP13" s="3018"/>
      <c r="BQ13" s="3018"/>
      <c r="BR13" s="3018"/>
      <c r="BS13" s="3018"/>
      <c r="BT13" s="3018"/>
      <c r="BU13" s="3018"/>
      <c r="BV13" s="3018"/>
      <c r="BW13" s="3018"/>
      <c r="BX13" s="3018"/>
      <c r="BY13" s="3018"/>
      <c r="BZ13" s="3018"/>
      <c r="CA13" s="3018"/>
      <c r="CB13" s="3018"/>
      <c r="CC13" s="3018"/>
      <c r="CD13" s="3018"/>
      <c r="CE13" s="3018"/>
      <c r="CF13" s="3018"/>
      <c r="CG13" s="3018"/>
      <c r="CH13" s="3018"/>
      <c r="CI13" s="3018"/>
      <c r="CJ13" s="3018"/>
      <c r="CK13" s="3018"/>
      <c r="CL13" s="3018"/>
      <c r="CM13" s="3018"/>
      <c r="CN13" s="3018"/>
      <c r="CO13" s="3018"/>
      <c r="CP13" s="3018"/>
      <c r="CQ13" s="3018"/>
      <c r="CR13" s="3018"/>
      <c r="CS13" s="3018"/>
      <c r="CT13" s="3018"/>
      <c r="CU13" s="3018"/>
      <c r="CV13" s="3018"/>
      <c r="CW13" s="3018"/>
      <c r="CX13" s="3018"/>
      <c r="CY13" s="3018"/>
      <c r="CZ13" s="3018"/>
      <c r="DA13" s="3018"/>
      <c r="DB13" s="3018"/>
      <c r="DC13" s="3018"/>
      <c r="DD13" s="3018"/>
      <c r="DE13" s="3018"/>
      <c r="DF13" s="3018"/>
      <c r="DG13" s="3018"/>
      <c r="DH13" s="3018"/>
      <c r="DI13" s="3018"/>
      <c r="DJ13" s="3018"/>
      <c r="DK13" s="3018"/>
      <c r="DL13" s="3018"/>
      <c r="DM13" s="3018"/>
      <c r="DN13" s="3018"/>
      <c r="DO13" s="3018"/>
      <c r="DP13" s="3018"/>
      <c r="DQ13" s="3018"/>
      <c r="DR13" s="3018"/>
      <c r="DS13" s="3018"/>
      <c r="DT13" s="3018"/>
      <c r="DU13" s="3018"/>
      <c r="DV13" s="3018"/>
      <c r="DW13" s="3018"/>
      <c r="DX13" s="3018"/>
      <c r="DY13" s="3018"/>
      <c r="DZ13" s="3018"/>
      <c r="EA13" s="3018"/>
      <c r="EB13" s="3018"/>
      <c r="EC13" s="3018"/>
      <c r="ED13" s="3018"/>
      <c r="EE13" s="3018"/>
      <c r="EF13" s="3018"/>
      <c r="EG13" s="3018"/>
      <c r="EH13" s="3018"/>
      <c r="EI13" s="3018"/>
      <c r="EJ13" s="3018"/>
      <c r="EK13" s="3018"/>
      <c r="EL13" s="3018"/>
      <c r="EM13" s="3018"/>
      <c r="EN13" s="3018"/>
      <c r="EO13" s="3018"/>
      <c r="EP13" s="3018"/>
      <c r="EQ13" s="3018"/>
      <c r="ER13" s="3018"/>
      <c r="ES13" s="3018"/>
      <c r="ET13" s="3018"/>
      <c r="EU13" s="3018"/>
      <c r="EV13" s="3018"/>
      <c r="EW13" s="3018"/>
      <c r="EX13" s="3018"/>
      <c r="EY13" s="3018"/>
      <c r="EZ13" s="3018"/>
      <c r="FA13" s="3018"/>
      <c r="FB13" s="3018"/>
      <c r="FC13" s="3018"/>
      <c r="FD13" s="3018"/>
      <c r="FE13" s="3018"/>
      <c r="FF13" s="3018"/>
      <c r="FG13" s="3018"/>
      <c r="FH13" s="3018"/>
      <c r="FI13" s="3018"/>
      <c r="FJ13" s="3018"/>
      <c r="FK13" s="3018"/>
      <c r="FL13" s="3018"/>
      <c r="FM13" s="3018"/>
      <c r="FN13" s="3018"/>
      <c r="FO13" s="3018"/>
      <c r="FP13" s="3018"/>
      <c r="FQ13" s="3018"/>
      <c r="FR13" s="3018"/>
      <c r="FS13" s="3018"/>
      <c r="FT13" s="3018"/>
      <c r="FU13" s="3018"/>
      <c r="FV13" s="3018"/>
      <c r="FW13" s="3018"/>
      <c r="FX13" s="3018"/>
      <c r="FY13" s="3018"/>
      <c r="FZ13" s="3018"/>
      <c r="GA13" s="3018"/>
      <c r="GB13" s="3018"/>
      <c r="GC13" s="3018"/>
      <c r="GD13" s="3018"/>
      <c r="GE13" s="3018"/>
      <c r="GF13" s="3018"/>
      <c r="GG13" s="3018"/>
      <c r="GH13" s="3018"/>
      <c r="GI13" s="3018"/>
      <c r="GJ13" s="3018"/>
      <c r="GK13" s="3018"/>
      <c r="GL13" s="3018"/>
      <c r="GM13" s="3018"/>
      <c r="GN13" s="3018"/>
      <c r="GO13" s="3018"/>
      <c r="GP13" s="3018"/>
      <c r="GQ13" s="3018"/>
      <c r="GR13" s="3018"/>
      <c r="GS13" s="3018"/>
      <c r="GT13" s="3018"/>
      <c r="GU13" s="3018"/>
      <c r="GV13" s="3018"/>
      <c r="GW13" s="3018"/>
      <c r="GX13" s="3018"/>
      <c r="GY13" s="3018"/>
      <c r="GZ13" s="3018"/>
      <c r="HA13" s="3018"/>
      <c r="HB13" s="3018"/>
      <c r="HC13" s="3018"/>
      <c r="HD13" s="3018"/>
      <c r="HE13" s="3018"/>
      <c r="HF13" s="3018"/>
      <c r="HG13" s="3018"/>
      <c r="HH13" s="3018"/>
      <c r="HI13" s="3018"/>
      <c r="HJ13" s="3018"/>
      <c r="HK13" s="3018"/>
      <c r="HL13" s="3018"/>
      <c r="HM13" s="3018"/>
      <c r="HN13" s="3018"/>
      <c r="HO13" s="3018"/>
      <c r="HP13" s="3018"/>
      <c r="HQ13" s="3018"/>
      <c r="HR13" s="3018"/>
      <c r="HS13" s="3018"/>
      <c r="HT13" s="3018"/>
      <c r="HU13" s="3018"/>
      <c r="HV13" s="3018"/>
      <c r="HW13" s="3018"/>
      <c r="HX13" s="3018"/>
      <c r="HY13" s="3018"/>
      <c r="HZ13" s="3018"/>
      <c r="IA13" s="3018"/>
      <c r="IB13" s="3018"/>
      <c r="IC13" s="3018"/>
      <c r="ID13" s="3018"/>
      <c r="IE13" s="3018"/>
      <c r="IF13" s="3018"/>
      <c r="IG13" s="3018"/>
      <c r="IH13" s="3018"/>
      <c r="II13" s="3018"/>
      <c r="IJ13" s="3018"/>
      <c r="IK13" s="3018"/>
      <c r="IL13" s="3018"/>
      <c r="IM13" s="3018"/>
      <c r="IN13" s="3018"/>
      <c r="IO13" s="3018"/>
      <c r="IP13" s="3018"/>
      <c r="IQ13" s="3018"/>
      <c r="IR13" s="3018"/>
      <c r="IS13" s="3018"/>
      <c r="IT13" s="3018"/>
      <c r="IU13" s="3018"/>
      <c r="IV13" s="3018"/>
      <c r="IW13" s="3019"/>
    </row>
    <row r="14" spans="1:257">
      <c r="B14" s="3020"/>
      <c r="C14" s="3021">
        <v>42242</v>
      </c>
      <c r="D14" s="3020">
        <v>4.5999999999999996</v>
      </c>
      <c r="E14" s="3020">
        <v>4.5999999999999996</v>
      </c>
      <c r="F14" s="3020">
        <v>5</v>
      </c>
      <c r="G14" s="3020">
        <v>5</v>
      </c>
      <c r="H14" s="3020">
        <v>5.15</v>
      </c>
      <c r="I14" s="3020">
        <v>2.75</v>
      </c>
      <c r="J14" s="3020">
        <v>3.25</v>
      </c>
      <c r="L14" s="3020"/>
      <c r="M14" s="3021">
        <v>42242</v>
      </c>
      <c r="N14" s="3020">
        <v>0.35</v>
      </c>
      <c r="O14" s="3020">
        <v>1.35</v>
      </c>
      <c r="P14" s="3020">
        <v>1.55</v>
      </c>
      <c r="Q14" s="3020">
        <v>1.75</v>
      </c>
      <c r="R14" s="3020">
        <v>2.35</v>
      </c>
      <c r="S14" s="3020">
        <v>3</v>
      </c>
      <c r="T14" s="3020"/>
      <c r="U14" s="3020"/>
      <c r="V14" s="3020"/>
      <c r="W14" s="3020"/>
      <c r="X14" s="3020"/>
      <c r="Y14" s="3020"/>
      <c r="Z14" s="3020"/>
    </row>
    <row r="15" spans="1:257">
      <c r="B15" s="3020"/>
      <c r="C15" s="3021">
        <v>42183</v>
      </c>
      <c r="D15" s="3020">
        <v>4.8499999999999996</v>
      </c>
      <c r="E15" s="3020">
        <v>4.8499999999999996</v>
      </c>
      <c r="F15" s="3020">
        <v>5.25</v>
      </c>
      <c r="G15" s="3020">
        <v>5.25</v>
      </c>
      <c r="H15" s="3020">
        <v>5.4</v>
      </c>
      <c r="I15" s="3020">
        <v>3</v>
      </c>
      <c r="J15" s="3020">
        <v>3.5</v>
      </c>
      <c r="L15" s="3020"/>
      <c r="M15" s="3021">
        <v>42183</v>
      </c>
      <c r="N15" s="3020">
        <v>0.35</v>
      </c>
      <c r="O15" s="3020">
        <v>1.6</v>
      </c>
      <c r="P15" s="3020">
        <v>1.8</v>
      </c>
      <c r="Q15" s="3020">
        <v>2</v>
      </c>
      <c r="R15" s="3020">
        <v>2.6</v>
      </c>
      <c r="S15" s="3020">
        <v>3.25</v>
      </c>
      <c r="T15" s="3020"/>
      <c r="U15" s="3020"/>
      <c r="V15" s="3020"/>
      <c r="W15" s="3020"/>
      <c r="X15" s="3020"/>
      <c r="Y15" s="3020"/>
      <c r="Z15" s="3020"/>
    </row>
    <row r="16" spans="1:257">
      <c r="B16" s="3020"/>
      <c r="C16" s="3021">
        <v>42135</v>
      </c>
      <c r="D16" s="3020">
        <v>5.0999999999999996</v>
      </c>
      <c r="E16" s="3020">
        <v>5.0999999999999996</v>
      </c>
      <c r="F16" s="3020">
        <v>5.5</v>
      </c>
      <c r="G16" s="3020">
        <v>5.5</v>
      </c>
      <c r="H16" s="3020">
        <v>5.65</v>
      </c>
      <c r="I16" s="3020">
        <v>3.25</v>
      </c>
      <c r="J16" s="3020">
        <v>3.75</v>
      </c>
      <c r="L16" s="3020"/>
      <c r="M16" s="3021">
        <v>42135</v>
      </c>
      <c r="N16" s="3020">
        <v>0.35</v>
      </c>
      <c r="O16" s="3020">
        <v>1.85</v>
      </c>
      <c r="P16" s="3020">
        <v>2.0499999999999998</v>
      </c>
      <c r="Q16" s="3020">
        <v>2.25</v>
      </c>
      <c r="R16" s="3020">
        <v>2.85</v>
      </c>
      <c r="S16" s="3020">
        <v>3.5</v>
      </c>
      <c r="T16" s="3020"/>
      <c r="U16" s="3020"/>
      <c r="V16" s="3020"/>
      <c r="W16" s="3020"/>
      <c r="X16" s="3020"/>
      <c r="Y16" s="3020"/>
      <c r="Z16" s="3020"/>
    </row>
    <row r="17" spans="2:26">
      <c r="B17" s="3020"/>
      <c r="C17" s="3021">
        <v>42064</v>
      </c>
      <c r="D17" s="3020">
        <v>5.35</v>
      </c>
      <c r="E17" s="3020">
        <v>5.35</v>
      </c>
      <c r="F17" s="3020">
        <v>5.75</v>
      </c>
      <c r="G17" s="3020">
        <v>5.75</v>
      </c>
      <c r="H17" s="3020">
        <v>5.9</v>
      </c>
      <c r="I17" s="3020"/>
      <c r="J17" s="3020"/>
      <c r="L17" s="3020"/>
      <c r="M17" s="3021">
        <v>42064</v>
      </c>
      <c r="N17" s="3020">
        <v>0.35</v>
      </c>
      <c r="O17" s="3020">
        <v>2.1</v>
      </c>
      <c r="P17" s="3020">
        <v>2.2999999999999998</v>
      </c>
      <c r="Q17" s="3020">
        <v>2.5</v>
      </c>
      <c r="R17" s="3020">
        <v>3.1</v>
      </c>
      <c r="S17" s="3020">
        <v>3.75</v>
      </c>
      <c r="T17" s="3020">
        <v>4.5</v>
      </c>
      <c r="U17" s="3020">
        <v>2.35</v>
      </c>
      <c r="V17" s="3020">
        <v>2.5499999999999998</v>
      </c>
      <c r="W17" s="3020">
        <v>2.75</v>
      </c>
      <c r="X17" s="3020"/>
      <c r="Y17" s="3020">
        <v>0.8</v>
      </c>
      <c r="Z17" s="3020">
        <v>1.35</v>
      </c>
    </row>
    <row r="18" spans="2:26" ht="15">
      <c r="B18" s="3020"/>
      <c r="C18" s="3021">
        <v>41965</v>
      </c>
      <c r="D18" s="3020">
        <v>5.6</v>
      </c>
      <c r="E18" s="3020">
        <v>5.6</v>
      </c>
      <c r="F18" s="3020">
        <v>6</v>
      </c>
      <c r="G18" s="3020">
        <v>6</v>
      </c>
      <c r="H18" s="3020">
        <v>6.15</v>
      </c>
      <c r="I18" s="3020"/>
      <c r="J18" s="3020"/>
      <c r="L18" s="3020"/>
      <c r="M18" s="3021">
        <v>41965</v>
      </c>
      <c r="N18" s="3020">
        <v>0.35</v>
      </c>
      <c r="O18" s="3020">
        <v>2.35</v>
      </c>
      <c r="P18" s="3020">
        <v>2.5499999999999998</v>
      </c>
      <c r="Q18" s="3020">
        <v>2.75</v>
      </c>
      <c r="R18" s="3020">
        <v>3.35</v>
      </c>
      <c r="S18" s="3020">
        <v>4</v>
      </c>
      <c r="T18" s="3020">
        <v>4.75</v>
      </c>
      <c r="U18" s="3022">
        <v>2.35</v>
      </c>
      <c r="V18" s="3022">
        <v>2.5499999999999998</v>
      </c>
      <c r="W18" s="3022">
        <v>2.75</v>
      </c>
      <c r="X18" s="3020"/>
      <c r="Y18" s="3022">
        <v>0.8</v>
      </c>
      <c r="Z18" s="3022">
        <v>1.35</v>
      </c>
    </row>
    <row r="19" spans="2:26">
      <c r="B19" s="3020"/>
      <c r="C19" s="3021">
        <v>41096</v>
      </c>
      <c r="D19" s="3020">
        <v>5.6</v>
      </c>
      <c r="E19" s="3020">
        <v>6</v>
      </c>
      <c r="F19" s="3020">
        <v>6.15</v>
      </c>
      <c r="G19" s="3020">
        <v>6.4</v>
      </c>
      <c r="H19" s="3020">
        <v>6.55</v>
      </c>
      <c r="I19" s="3020">
        <v>4</v>
      </c>
      <c r="J19" s="3020">
        <v>4.5</v>
      </c>
      <c r="L19" s="3020"/>
      <c r="M19" s="3021">
        <v>41096</v>
      </c>
      <c r="N19" s="3020">
        <v>0.35</v>
      </c>
      <c r="O19" s="3020">
        <v>2.6</v>
      </c>
      <c r="P19" s="3020">
        <v>2.8</v>
      </c>
      <c r="Q19" s="3020">
        <v>3</v>
      </c>
      <c r="R19" s="3020">
        <v>3.75</v>
      </c>
      <c r="S19" s="3020">
        <v>4.25</v>
      </c>
      <c r="T19" s="3020">
        <v>4.75</v>
      </c>
      <c r="U19" s="3020">
        <v>2.85</v>
      </c>
      <c r="V19" s="3020">
        <v>2.9</v>
      </c>
      <c r="W19" s="3020">
        <v>3</v>
      </c>
      <c r="X19" s="3020">
        <v>1.1499999999999999</v>
      </c>
      <c r="Y19" s="3020">
        <v>0.8</v>
      </c>
      <c r="Z19" s="3020">
        <v>1.35</v>
      </c>
    </row>
    <row r="20" spans="2:26">
      <c r="B20" s="3020"/>
      <c r="C20" s="3021">
        <v>41068</v>
      </c>
      <c r="D20" s="3020">
        <v>5.85</v>
      </c>
      <c r="E20" s="3020">
        <v>6.31</v>
      </c>
      <c r="F20" s="3020">
        <v>6.4</v>
      </c>
      <c r="G20" s="3020">
        <v>6.65</v>
      </c>
      <c r="H20" s="3020">
        <v>6.8</v>
      </c>
      <c r="I20" s="3020">
        <v>4.2</v>
      </c>
      <c r="J20" s="3020">
        <v>4.7</v>
      </c>
      <c r="L20" s="3020"/>
      <c r="M20" s="3021">
        <v>41068</v>
      </c>
      <c r="N20" s="3020">
        <v>0.4</v>
      </c>
      <c r="O20" s="3020">
        <v>2.85</v>
      </c>
      <c r="P20" s="3020">
        <v>3.05</v>
      </c>
      <c r="Q20" s="3020">
        <v>3.25</v>
      </c>
      <c r="R20" s="3020">
        <v>4.0999999999999996</v>
      </c>
      <c r="S20" s="3020">
        <v>4.6500000000000004</v>
      </c>
      <c r="T20" s="3020">
        <v>5.0999999999999996</v>
      </c>
      <c r="U20" s="3020">
        <v>3.1</v>
      </c>
      <c r="V20" s="3020">
        <v>3.15</v>
      </c>
      <c r="W20" s="3020">
        <v>3.25</v>
      </c>
      <c r="X20" s="3020">
        <v>1.31</v>
      </c>
      <c r="Y20" s="3020">
        <v>0.94</v>
      </c>
      <c r="Z20" s="3020">
        <v>1.49</v>
      </c>
    </row>
    <row r="21" spans="2:26">
      <c r="B21" s="3020"/>
      <c r="C21" s="3021">
        <v>40731</v>
      </c>
      <c r="D21" s="3020">
        <v>6.1</v>
      </c>
      <c r="E21" s="3020">
        <v>6.56</v>
      </c>
      <c r="F21" s="3020">
        <v>6.65</v>
      </c>
      <c r="G21" s="3020">
        <v>6.9</v>
      </c>
      <c r="H21" s="3020">
        <v>7.05</v>
      </c>
      <c r="I21" s="3020">
        <v>4.45</v>
      </c>
      <c r="J21" s="3020">
        <v>4.9000000000000004</v>
      </c>
      <c r="L21" s="3020"/>
      <c r="M21" s="3021">
        <v>40731</v>
      </c>
      <c r="N21" s="3020">
        <v>0.5</v>
      </c>
      <c r="O21" s="3020">
        <v>3.1</v>
      </c>
      <c r="P21" s="3020">
        <v>3.3</v>
      </c>
      <c r="Q21" s="3020">
        <v>3.5</v>
      </c>
      <c r="R21" s="3020">
        <v>4.4000000000000004</v>
      </c>
      <c r="S21" s="3020">
        <v>5</v>
      </c>
      <c r="T21" s="3020">
        <v>5.5</v>
      </c>
      <c r="U21" s="3020">
        <v>3.1</v>
      </c>
      <c r="V21" s="3020">
        <v>3.3</v>
      </c>
      <c r="W21" s="3020">
        <v>3.5</v>
      </c>
      <c r="X21" s="3020">
        <v>1.31</v>
      </c>
      <c r="Y21" s="3020">
        <v>0.95</v>
      </c>
      <c r="Z21" s="3020">
        <v>1.49</v>
      </c>
    </row>
    <row r="22" spans="2:26">
      <c r="B22" s="3020"/>
      <c r="C22" s="3021">
        <v>40639</v>
      </c>
      <c r="D22" s="3020">
        <v>5.85</v>
      </c>
      <c r="E22" s="3020">
        <v>6.31</v>
      </c>
      <c r="F22" s="3020">
        <v>6.4</v>
      </c>
      <c r="G22" s="3020">
        <v>6.65</v>
      </c>
      <c r="H22" s="3020">
        <v>6.8</v>
      </c>
      <c r="I22" s="3020">
        <v>4.2</v>
      </c>
      <c r="J22" s="3020">
        <v>4.7</v>
      </c>
      <c r="L22" s="3020"/>
      <c r="M22" s="3021">
        <v>40639</v>
      </c>
      <c r="N22" s="3020">
        <v>0.5</v>
      </c>
      <c r="O22" s="3020">
        <v>2.85</v>
      </c>
      <c r="P22" s="3020">
        <v>3.05</v>
      </c>
      <c r="Q22" s="3020">
        <v>3.25</v>
      </c>
      <c r="R22" s="3020">
        <v>4.1500000000000004</v>
      </c>
      <c r="S22" s="3020">
        <v>4.75</v>
      </c>
      <c r="T22" s="3020">
        <v>5.25</v>
      </c>
      <c r="U22" s="3020">
        <v>2.85</v>
      </c>
      <c r="V22" s="3020">
        <v>3.05</v>
      </c>
      <c r="W22" s="3020">
        <v>3.25</v>
      </c>
      <c r="X22" s="3020">
        <v>1.31</v>
      </c>
      <c r="Y22" s="3020">
        <v>0.95</v>
      </c>
      <c r="Z22" s="3020">
        <v>1.49</v>
      </c>
    </row>
    <row r="23" spans="2:26">
      <c r="B23" s="3020"/>
      <c r="C23" s="3021">
        <v>40583</v>
      </c>
      <c r="D23" s="3020">
        <v>5.6</v>
      </c>
      <c r="E23" s="3020">
        <v>6.06</v>
      </c>
      <c r="F23" s="3020">
        <v>6.1</v>
      </c>
      <c r="G23" s="3020">
        <v>6.45</v>
      </c>
      <c r="H23" s="3020">
        <v>6.6</v>
      </c>
      <c r="I23" s="3020">
        <v>4</v>
      </c>
      <c r="J23" s="3020">
        <v>4.5</v>
      </c>
      <c r="L23" s="3020"/>
      <c r="M23" s="3021">
        <v>40583</v>
      </c>
      <c r="N23" s="3020">
        <v>0.4</v>
      </c>
      <c r="O23" s="3020">
        <v>2.6</v>
      </c>
      <c r="P23" s="3020">
        <v>2.8</v>
      </c>
      <c r="Q23" s="3020">
        <v>3</v>
      </c>
      <c r="R23" s="3020">
        <v>3.9</v>
      </c>
      <c r="S23" s="3020">
        <v>4.5</v>
      </c>
      <c r="T23" s="3020">
        <v>5</v>
      </c>
      <c r="U23" s="3020">
        <v>2.6</v>
      </c>
      <c r="V23" s="3020">
        <v>2.8</v>
      </c>
      <c r="W23" s="3020">
        <v>3</v>
      </c>
      <c r="X23" s="3020">
        <v>1.21</v>
      </c>
      <c r="Y23" s="3020">
        <v>0.85</v>
      </c>
      <c r="Z23" s="3020">
        <v>1.39</v>
      </c>
    </row>
    <row r="24" spans="2:26">
      <c r="B24" s="3020"/>
      <c r="C24" s="3021">
        <v>40538</v>
      </c>
      <c r="D24" s="3020">
        <v>5.35</v>
      </c>
      <c r="E24" s="3020">
        <v>5.81</v>
      </c>
      <c r="F24" s="3020">
        <v>5.85</v>
      </c>
      <c r="G24" s="3020">
        <v>6.22</v>
      </c>
      <c r="H24" s="3020">
        <v>6.4</v>
      </c>
      <c r="I24" s="3020">
        <v>3.75</v>
      </c>
      <c r="J24" s="3020">
        <v>4.3</v>
      </c>
      <c r="L24" s="3020"/>
      <c r="M24" s="3021">
        <v>40538</v>
      </c>
      <c r="N24" s="3020">
        <v>0.36</v>
      </c>
      <c r="O24" s="3020">
        <v>2.25</v>
      </c>
      <c r="P24" s="3020">
        <v>2.5</v>
      </c>
      <c r="Q24" s="3020">
        <v>2.75</v>
      </c>
      <c r="R24" s="3020">
        <v>3.55</v>
      </c>
      <c r="S24" s="3020">
        <v>4.1500000000000004</v>
      </c>
      <c r="T24" s="3020">
        <v>4.55</v>
      </c>
      <c r="U24" s="3020">
        <v>2.16</v>
      </c>
      <c r="V24" s="3020">
        <v>2.5</v>
      </c>
      <c r="W24" s="3020">
        <v>2.85</v>
      </c>
      <c r="X24" s="3020">
        <v>1.17</v>
      </c>
      <c r="Y24" s="3020">
        <v>0.81</v>
      </c>
      <c r="Z24" s="3020">
        <v>1.35</v>
      </c>
    </row>
    <row r="25" spans="2:26">
      <c r="B25" s="3020"/>
      <c r="C25" s="3021">
        <v>40471</v>
      </c>
      <c r="D25" s="3020">
        <v>5.0999999999999996</v>
      </c>
      <c r="E25" s="3020">
        <v>5.56</v>
      </c>
      <c r="F25" s="3020">
        <v>5.6</v>
      </c>
      <c r="G25" s="3020">
        <v>5.96</v>
      </c>
      <c r="H25" s="3020">
        <v>6.14</v>
      </c>
      <c r="I25" s="3020">
        <v>3.5</v>
      </c>
      <c r="J25" s="3020">
        <v>4.05</v>
      </c>
      <c r="L25" s="3020"/>
      <c r="M25" s="3021">
        <v>40471</v>
      </c>
      <c r="N25" s="3020">
        <v>0.36</v>
      </c>
      <c r="O25" s="3020">
        <v>1.91</v>
      </c>
      <c r="P25" s="3020">
        <v>2.2000000000000002</v>
      </c>
      <c r="Q25" s="3020">
        <v>2.5</v>
      </c>
      <c r="R25" s="3020">
        <v>3.25</v>
      </c>
      <c r="S25" s="3020">
        <v>3.85</v>
      </c>
      <c r="T25" s="3020">
        <v>4.2</v>
      </c>
      <c r="U25" s="3020">
        <v>1.91</v>
      </c>
      <c r="V25" s="3020">
        <v>2.2000000000000002</v>
      </c>
      <c r="W25" s="3020">
        <v>2.5</v>
      </c>
      <c r="X25" s="3020">
        <v>1.17</v>
      </c>
      <c r="Y25" s="3020">
        <v>0.81</v>
      </c>
      <c r="Z25" s="3020">
        <v>1.35</v>
      </c>
    </row>
    <row r="26" spans="2:26">
      <c r="B26" s="3020"/>
      <c r="C26" s="3021">
        <v>39805</v>
      </c>
      <c r="D26" s="3020">
        <v>4.8600000000000003</v>
      </c>
      <c r="E26" s="3020">
        <v>5.31</v>
      </c>
      <c r="F26" s="3020">
        <v>5.4</v>
      </c>
      <c r="G26" s="3020">
        <v>5.76</v>
      </c>
      <c r="H26" s="3020">
        <v>5.94</v>
      </c>
      <c r="I26" s="3020">
        <v>3.33</v>
      </c>
      <c r="J26" s="3020">
        <v>3.87</v>
      </c>
      <c r="L26" s="3020"/>
      <c r="M26" s="3021">
        <v>39805</v>
      </c>
      <c r="N26" s="3020">
        <v>0.36</v>
      </c>
      <c r="O26" s="3020">
        <v>1.71</v>
      </c>
      <c r="P26" s="3020">
        <v>1.98</v>
      </c>
      <c r="Q26" s="3020">
        <v>2.25</v>
      </c>
      <c r="R26" s="3020">
        <v>2.79</v>
      </c>
      <c r="S26" s="3020">
        <v>3.33</v>
      </c>
      <c r="T26" s="3020">
        <v>3.6</v>
      </c>
      <c r="U26" s="3020">
        <v>1.71</v>
      </c>
      <c r="V26" s="3020">
        <v>1.98</v>
      </c>
      <c r="W26" s="3020">
        <v>2.25</v>
      </c>
      <c r="X26" s="3020">
        <v>1.17</v>
      </c>
      <c r="Y26" s="3020">
        <v>0.81</v>
      </c>
      <c r="Z26" s="3020">
        <v>1.35</v>
      </c>
    </row>
    <row r="27" spans="2:26">
      <c r="B27" s="3020"/>
      <c r="C27" s="3021">
        <v>39779</v>
      </c>
      <c r="D27" s="3020">
        <v>5.04</v>
      </c>
      <c r="E27" s="3020">
        <v>5.58</v>
      </c>
      <c r="F27" s="3020">
        <v>5.67</v>
      </c>
      <c r="G27" s="3020">
        <v>5.94</v>
      </c>
      <c r="H27" s="3020">
        <v>6.12</v>
      </c>
      <c r="I27" s="3020">
        <v>3.51</v>
      </c>
      <c r="J27" s="3020">
        <v>4.05</v>
      </c>
      <c r="L27" s="3020"/>
      <c r="M27" s="3021">
        <v>39779</v>
      </c>
      <c r="N27" s="3020">
        <v>0.36</v>
      </c>
      <c r="O27" s="3020">
        <v>1.98</v>
      </c>
      <c r="P27" s="3020">
        <v>2.25</v>
      </c>
      <c r="Q27" s="3020">
        <v>2.52</v>
      </c>
      <c r="R27" s="3020">
        <v>3.06</v>
      </c>
      <c r="S27" s="3020">
        <v>3.6</v>
      </c>
      <c r="T27" s="3020">
        <v>3.87</v>
      </c>
      <c r="U27" s="3020">
        <v>1.98</v>
      </c>
      <c r="V27" s="3020">
        <v>2.25</v>
      </c>
      <c r="W27" s="3020">
        <v>2.52</v>
      </c>
      <c r="X27" s="3020">
        <v>1.17</v>
      </c>
      <c r="Y27" s="3020">
        <v>0.81</v>
      </c>
      <c r="Z27" s="3020">
        <v>1.35</v>
      </c>
    </row>
    <row r="28" spans="2:26">
      <c r="B28" s="3020"/>
      <c r="C28" s="3021">
        <v>39751</v>
      </c>
      <c r="D28" s="3020">
        <v>6.03</v>
      </c>
      <c r="E28" s="3020">
        <v>6.66</v>
      </c>
      <c r="F28" s="3020">
        <v>6.75</v>
      </c>
      <c r="G28" s="3020">
        <v>7.02</v>
      </c>
      <c r="H28" s="3020">
        <v>7.2</v>
      </c>
      <c r="I28" s="3020">
        <v>4.05</v>
      </c>
      <c r="J28" s="3020">
        <v>4.59</v>
      </c>
      <c r="L28" s="3020"/>
      <c r="M28" s="3021">
        <v>39751</v>
      </c>
      <c r="N28" s="3020">
        <v>0.72</v>
      </c>
      <c r="O28" s="3020">
        <v>2.88</v>
      </c>
      <c r="P28" s="3020">
        <v>3.24</v>
      </c>
      <c r="Q28" s="3020">
        <v>3.6</v>
      </c>
      <c r="R28" s="3020">
        <v>4.1399999999999997</v>
      </c>
      <c r="S28" s="3020">
        <v>4.7699999999999996</v>
      </c>
      <c r="T28" s="3020">
        <v>5.13</v>
      </c>
      <c r="U28" s="3020">
        <v>2.88</v>
      </c>
      <c r="V28" s="3020">
        <v>3.24</v>
      </c>
      <c r="W28" s="3020">
        <v>3.6</v>
      </c>
      <c r="X28" s="3020">
        <v>1.53</v>
      </c>
      <c r="Y28" s="3020">
        <v>1.17</v>
      </c>
      <c r="Z28" s="3020">
        <v>1.71</v>
      </c>
    </row>
    <row r="29" spans="2:26">
      <c r="B29" s="3020"/>
      <c r="C29" s="3023">
        <v>39748</v>
      </c>
      <c r="D29" s="3020">
        <v>6.12</v>
      </c>
      <c r="E29" s="3020">
        <v>6.93</v>
      </c>
      <c r="F29" s="3020">
        <v>7.02</v>
      </c>
      <c r="G29" s="3020">
        <v>7.29</v>
      </c>
      <c r="H29" s="3020">
        <v>7.47</v>
      </c>
      <c r="I29" s="3020">
        <v>4.05</v>
      </c>
      <c r="J29" s="3020">
        <v>4.59</v>
      </c>
      <c r="L29" s="3020"/>
      <c r="M29" s="3023">
        <v>39736</v>
      </c>
      <c r="N29" s="3020">
        <v>0.72</v>
      </c>
      <c r="O29" s="3020">
        <v>3.15</v>
      </c>
      <c r="P29" s="3020">
        <v>3.51</v>
      </c>
      <c r="Q29" s="3020">
        <v>3.87</v>
      </c>
      <c r="R29" s="3020">
        <v>4.41</v>
      </c>
      <c r="S29" s="3020">
        <v>5.13</v>
      </c>
      <c r="T29" s="3020">
        <v>5.58</v>
      </c>
      <c r="U29" s="3020">
        <v>3.15</v>
      </c>
      <c r="V29" s="3020">
        <v>3.51</v>
      </c>
      <c r="W29" s="3020">
        <v>3.87</v>
      </c>
      <c r="X29" s="3020">
        <v>1.53</v>
      </c>
      <c r="Y29" s="3020">
        <v>1.17</v>
      </c>
      <c r="Z29" s="3020">
        <v>1.71</v>
      </c>
    </row>
    <row r="30" spans="2:26">
      <c r="B30" s="3020"/>
      <c r="C30" s="3021">
        <v>39730</v>
      </c>
      <c r="D30" s="3020">
        <v>6.12</v>
      </c>
      <c r="E30" s="3020">
        <v>6.93</v>
      </c>
      <c r="F30" s="3020">
        <v>7.02</v>
      </c>
      <c r="G30" s="3020">
        <v>7.29</v>
      </c>
      <c r="H30" s="3020">
        <v>7.47</v>
      </c>
      <c r="I30" s="3020">
        <v>4.32</v>
      </c>
      <c r="J30" s="3020">
        <v>4.8600000000000003</v>
      </c>
      <c r="L30" s="3020"/>
      <c r="M30" s="3021">
        <v>39730</v>
      </c>
      <c r="N30" s="3020">
        <v>0.72</v>
      </c>
      <c r="O30" s="3020">
        <v>3.15</v>
      </c>
      <c r="P30" s="3020">
        <v>3.51</v>
      </c>
      <c r="Q30" s="3020">
        <v>3.87</v>
      </c>
      <c r="R30" s="3020">
        <v>4.41</v>
      </c>
      <c r="S30" s="3020">
        <v>5.13</v>
      </c>
      <c r="T30" s="3020">
        <v>5.58</v>
      </c>
      <c r="U30" s="3020">
        <v>3.15</v>
      </c>
      <c r="V30" s="3020">
        <v>3.51</v>
      </c>
      <c r="W30" s="3020">
        <v>3.87</v>
      </c>
      <c r="X30" s="3020">
        <v>1.53</v>
      </c>
      <c r="Y30" s="3020">
        <v>1.17</v>
      </c>
      <c r="Z30" s="3020">
        <v>1.71</v>
      </c>
    </row>
    <row r="31" spans="2:26">
      <c r="B31" s="3020"/>
      <c r="C31" s="3021">
        <v>39707</v>
      </c>
      <c r="D31" s="3020">
        <v>6.21</v>
      </c>
      <c r="E31" s="3020">
        <v>7.2</v>
      </c>
      <c r="F31" s="3020">
        <v>7.29</v>
      </c>
      <c r="G31" s="3020">
        <v>7.56</v>
      </c>
      <c r="H31" s="3020">
        <v>7.74</v>
      </c>
      <c r="I31" s="3020">
        <v>4.59</v>
      </c>
      <c r="J31" s="3020">
        <v>5.13</v>
      </c>
      <c r="L31" s="3020"/>
      <c r="M31" s="3021">
        <v>39437</v>
      </c>
      <c r="N31" s="3020">
        <v>0.72</v>
      </c>
      <c r="O31" s="3020">
        <v>3.33</v>
      </c>
      <c r="P31" s="3020">
        <v>3.78</v>
      </c>
      <c r="Q31" s="3020">
        <v>4.1399999999999997</v>
      </c>
      <c r="R31" s="3020">
        <v>4.68</v>
      </c>
      <c r="S31" s="3020">
        <v>5.4</v>
      </c>
      <c r="T31" s="3020">
        <v>5.85</v>
      </c>
      <c r="U31" s="3020">
        <v>3.33</v>
      </c>
      <c r="V31" s="3020">
        <v>3.78</v>
      </c>
      <c r="W31" s="3020">
        <v>4.1399999999999997</v>
      </c>
      <c r="X31" s="3020">
        <v>1.53</v>
      </c>
      <c r="Y31" s="3020">
        <v>1.17</v>
      </c>
      <c r="Z31" s="3020">
        <v>1.71</v>
      </c>
    </row>
    <row r="32" spans="2:26">
      <c r="B32" s="3020"/>
      <c r="C32" s="3021">
        <v>39437</v>
      </c>
      <c r="D32" s="3020">
        <v>6.57</v>
      </c>
      <c r="E32" s="3020">
        <v>7.47</v>
      </c>
      <c r="F32" s="3020">
        <v>7.56</v>
      </c>
      <c r="G32" s="3020">
        <v>7.74</v>
      </c>
      <c r="H32" s="3020">
        <v>7.83</v>
      </c>
      <c r="I32" s="3020">
        <v>4.7699999999999996</v>
      </c>
      <c r="J32" s="3020">
        <v>5.22</v>
      </c>
      <c r="L32" s="3020"/>
      <c r="M32" s="3021">
        <v>39340</v>
      </c>
      <c r="N32" s="3020">
        <v>0.81</v>
      </c>
      <c r="O32" s="3020">
        <v>2.88</v>
      </c>
      <c r="P32" s="3020">
        <v>3.42</v>
      </c>
      <c r="Q32" s="3020">
        <v>3.87</v>
      </c>
      <c r="R32" s="3020">
        <v>4.5</v>
      </c>
      <c r="S32" s="3020">
        <v>5.22</v>
      </c>
      <c r="T32" s="3020">
        <v>5.76</v>
      </c>
      <c r="U32" s="3020">
        <v>2.88</v>
      </c>
      <c r="V32" s="3020">
        <v>3.42</v>
      </c>
      <c r="W32" s="3020">
        <v>3.87</v>
      </c>
      <c r="X32" s="3020">
        <v>1.53</v>
      </c>
      <c r="Y32" s="3020">
        <v>1.17</v>
      </c>
      <c r="Z32" s="3020">
        <v>1.71</v>
      </c>
    </row>
    <row r="33" spans="2:26">
      <c r="B33" s="3020"/>
      <c r="C33" s="3021">
        <v>39340</v>
      </c>
      <c r="D33" s="3020">
        <v>6.48</v>
      </c>
      <c r="E33" s="3020">
        <v>7.29</v>
      </c>
      <c r="F33" s="3020">
        <v>7.47</v>
      </c>
      <c r="G33" s="3020">
        <v>7.65</v>
      </c>
      <c r="H33" s="3020">
        <v>7.83</v>
      </c>
      <c r="I33" s="3020">
        <v>4.7699999999999996</v>
      </c>
      <c r="J33" s="3020">
        <v>5.22</v>
      </c>
      <c r="L33" s="3020"/>
      <c r="M33" s="3021">
        <v>39316</v>
      </c>
      <c r="N33" s="3020">
        <v>0.81</v>
      </c>
      <c r="O33" s="3020">
        <v>2.61</v>
      </c>
      <c r="P33" s="3020">
        <v>3.15</v>
      </c>
      <c r="Q33" s="3020">
        <v>3.6</v>
      </c>
      <c r="R33" s="3020">
        <v>4.2300000000000004</v>
      </c>
      <c r="S33" s="3020">
        <v>4.95</v>
      </c>
      <c r="T33" s="3020">
        <v>5.49</v>
      </c>
      <c r="U33" s="3020">
        <v>2.61</v>
      </c>
      <c r="V33" s="3020">
        <v>3.15</v>
      </c>
      <c r="W33" s="3020">
        <v>3.6</v>
      </c>
      <c r="X33" s="3020">
        <v>1.53</v>
      </c>
      <c r="Y33" s="3020">
        <v>1.17</v>
      </c>
      <c r="Z33" s="3020">
        <v>1.71</v>
      </c>
    </row>
    <row r="34" spans="2:26">
      <c r="B34" s="3020"/>
      <c r="C34" s="3021">
        <v>39316</v>
      </c>
      <c r="D34" s="3020">
        <v>6.21</v>
      </c>
      <c r="E34" s="3020">
        <v>7.02</v>
      </c>
      <c r="F34" s="3020">
        <v>7.2</v>
      </c>
      <c r="G34" s="3020">
        <v>7.38</v>
      </c>
      <c r="H34" s="3020">
        <v>7.56</v>
      </c>
      <c r="I34" s="3020">
        <v>4.59</v>
      </c>
      <c r="J34" s="3020">
        <v>5.04</v>
      </c>
      <c r="L34" s="3020"/>
      <c r="M34" s="3021">
        <v>39284</v>
      </c>
      <c r="N34" s="3020">
        <v>0.81</v>
      </c>
      <c r="O34" s="3020">
        <v>2.34</v>
      </c>
      <c r="P34" s="3020">
        <v>2.88</v>
      </c>
      <c r="Q34" s="3020">
        <v>3.33</v>
      </c>
      <c r="R34" s="3020">
        <v>3.96</v>
      </c>
      <c r="S34" s="3020">
        <v>4.68</v>
      </c>
      <c r="T34" s="3020">
        <v>5.22</v>
      </c>
      <c r="U34" s="3020">
        <v>2.34</v>
      </c>
      <c r="V34" s="3020">
        <v>2.88</v>
      </c>
      <c r="W34" s="3020">
        <v>3.33</v>
      </c>
      <c r="X34" s="3020">
        <v>1.53</v>
      </c>
      <c r="Y34" s="3020">
        <v>1.17</v>
      </c>
      <c r="Z34" s="3020">
        <v>1.71</v>
      </c>
    </row>
    <row r="35" spans="2:26">
      <c r="B35" s="3020"/>
      <c r="C35" s="3021">
        <v>39284</v>
      </c>
      <c r="D35" s="3020">
        <v>6.03</v>
      </c>
      <c r="E35" s="3020">
        <v>6.84</v>
      </c>
      <c r="F35" s="3020">
        <v>7.02</v>
      </c>
      <c r="G35" s="3020">
        <v>7.2</v>
      </c>
      <c r="H35" s="3020">
        <v>7.38</v>
      </c>
      <c r="I35" s="3020">
        <v>4.5</v>
      </c>
      <c r="J35" s="3020">
        <v>4.95</v>
      </c>
      <c r="L35" s="3020"/>
      <c r="M35" s="3021">
        <v>39221</v>
      </c>
      <c r="N35" s="3020">
        <v>0.72</v>
      </c>
      <c r="O35" s="3020">
        <v>2.0699999999999998</v>
      </c>
      <c r="P35" s="3020">
        <v>2.61</v>
      </c>
      <c r="Q35" s="3020">
        <v>3.06</v>
      </c>
      <c r="R35" s="3020">
        <v>3.69</v>
      </c>
      <c r="S35" s="3020">
        <v>4.41</v>
      </c>
      <c r="T35" s="3020">
        <v>4.95</v>
      </c>
      <c r="U35" s="3020">
        <v>2.0699999999999998</v>
      </c>
      <c r="V35" s="3020">
        <v>2.61</v>
      </c>
      <c r="W35" s="3020">
        <v>3.06</v>
      </c>
      <c r="X35" s="3020">
        <v>1.44</v>
      </c>
      <c r="Y35" s="3020">
        <v>1.08</v>
      </c>
      <c r="Z35" s="3020">
        <v>1.62</v>
      </c>
    </row>
    <row r="36" spans="2:26">
      <c r="B36" s="3020"/>
      <c r="C36" s="3021">
        <v>39221</v>
      </c>
      <c r="D36" s="3020">
        <v>5.85</v>
      </c>
      <c r="E36" s="3020">
        <v>6.57</v>
      </c>
      <c r="F36" s="3020">
        <v>6.75</v>
      </c>
      <c r="G36" s="3020">
        <v>6.93</v>
      </c>
      <c r="H36" s="3020">
        <v>7.2</v>
      </c>
      <c r="I36" s="3020">
        <v>4.41</v>
      </c>
      <c r="J36" s="3020">
        <v>4.8600000000000003</v>
      </c>
      <c r="L36" s="3020"/>
      <c r="M36" s="3021">
        <v>39159</v>
      </c>
      <c r="N36" s="3020">
        <v>0.72</v>
      </c>
      <c r="O36" s="3020">
        <v>1.98</v>
      </c>
      <c r="P36" s="3020">
        <v>2.4300000000000002</v>
      </c>
      <c r="Q36" s="3020">
        <v>2.79</v>
      </c>
      <c r="R36" s="3020">
        <v>3.33</v>
      </c>
      <c r="S36" s="3020">
        <v>3.96</v>
      </c>
      <c r="T36" s="3020">
        <v>4.41</v>
      </c>
      <c r="U36" s="3020">
        <v>1.98</v>
      </c>
      <c r="V36" s="3020">
        <v>2.4300000000000002</v>
      </c>
      <c r="W36" s="3020">
        <v>2.79</v>
      </c>
      <c r="X36" s="3020">
        <v>1.44</v>
      </c>
      <c r="Y36" s="3020">
        <v>1.08</v>
      </c>
      <c r="Z36" s="3020">
        <v>1.62</v>
      </c>
    </row>
    <row r="37" spans="2:26">
      <c r="B37" s="3020"/>
      <c r="C37" s="3021">
        <v>39159</v>
      </c>
      <c r="D37" s="3020">
        <v>5.67</v>
      </c>
      <c r="E37" s="3020">
        <v>6.39</v>
      </c>
      <c r="F37" s="3020">
        <v>6.57</v>
      </c>
      <c r="G37" s="3020">
        <v>6.75</v>
      </c>
      <c r="H37" s="3020">
        <v>7.11</v>
      </c>
      <c r="I37" s="3020">
        <v>4.32</v>
      </c>
      <c r="J37" s="3020">
        <v>4.7699999999999996</v>
      </c>
      <c r="L37" s="3020"/>
      <c r="M37" s="3021">
        <v>38948</v>
      </c>
      <c r="N37" s="3020">
        <v>0.72</v>
      </c>
      <c r="O37" s="3020">
        <v>1.8</v>
      </c>
      <c r="P37" s="3020">
        <v>2.25</v>
      </c>
      <c r="Q37" s="3020">
        <v>2.52</v>
      </c>
      <c r="R37" s="3020">
        <v>3.06</v>
      </c>
      <c r="S37" s="3020">
        <v>3.69</v>
      </c>
      <c r="T37" s="3020">
        <v>4.1399999999999997</v>
      </c>
      <c r="U37" s="3020">
        <v>1.8</v>
      </c>
      <c r="V37" s="3020">
        <v>2.25</v>
      </c>
      <c r="W37" s="3020">
        <v>2.52</v>
      </c>
      <c r="X37" s="3020">
        <v>1.44</v>
      </c>
      <c r="Y37" s="3020">
        <v>1.08</v>
      </c>
      <c r="Z37" s="3020">
        <v>1.62</v>
      </c>
    </row>
    <row r="38" spans="2:26">
      <c r="B38" s="3020"/>
      <c r="C38" s="3021">
        <v>38948</v>
      </c>
      <c r="D38" s="3020">
        <v>5.58</v>
      </c>
      <c r="E38" s="3020">
        <v>6.12</v>
      </c>
      <c r="F38" s="3020">
        <v>6.3</v>
      </c>
      <c r="G38" s="3020">
        <v>6.48</v>
      </c>
      <c r="H38" s="3020">
        <v>6.84</v>
      </c>
      <c r="I38" s="3020">
        <v>4.1399999999999997</v>
      </c>
      <c r="J38" s="3020">
        <v>4.59</v>
      </c>
      <c r="L38" s="3020"/>
      <c r="M38" s="3021">
        <v>38289</v>
      </c>
      <c r="N38" s="3020">
        <v>0.72</v>
      </c>
      <c r="O38" s="3020">
        <v>1.71</v>
      </c>
      <c r="P38" s="3020">
        <v>2.0699999999999998</v>
      </c>
      <c r="Q38" s="3020">
        <v>2.25</v>
      </c>
      <c r="R38" s="3020">
        <v>2.7</v>
      </c>
      <c r="S38" s="3020">
        <v>3.24</v>
      </c>
      <c r="T38" s="3020">
        <v>3.6</v>
      </c>
      <c r="U38" s="3020">
        <v>1.71</v>
      </c>
      <c r="V38" s="3020">
        <v>2.0699999999999998</v>
      </c>
      <c r="W38" s="3020">
        <v>2.25</v>
      </c>
      <c r="X38" s="3020">
        <v>1.44</v>
      </c>
      <c r="Y38" s="3020">
        <v>1.08</v>
      </c>
      <c r="Z38" s="3020">
        <v>1.62</v>
      </c>
    </row>
    <row r="39" spans="2:26">
      <c r="B39" s="3020"/>
      <c r="C39" s="3021">
        <v>38835</v>
      </c>
      <c r="D39" s="3020">
        <v>5.4</v>
      </c>
      <c r="E39" s="3020">
        <v>5.85</v>
      </c>
      <c r="F39" s="3020">
        <v>6.03</v>
      </c>
      <c r="G39" s="3020">
        <v>6.12</v>
      </c>
      <c r="H39" s="3020">
        <v>6.39</v>
      </c>
      <c r="I39" s="3020">
        <v>4.1399999999999997</v>
      </c>
      <c r="J39" s="3020">
        <v>4.59</v>
      </c>
      <c r="L39" s="3020"/>
      <c r="M39" s="3021">
        <v>37308</v>
      </c>
      <c r="N39" s="3020">
        <v>0.72</v>
      </c>
      <c r="O39" s="3020">
        <v>1.71</v>
      </c>
      <c r="P39" s="3020">
        <v>1.89</v>
      </c>
      <c r="Q39" s="3020">
        <v>1.98</v>
      </c>
      <c r="R39" s="3020">
        <v>2.25</v>
      </c>
      <c r="S39" s="3020">
        <v>2.52</v>
      </c>
      <c r="T39" s="3020">
        <v>2.79</v>
      </c>
      <c r="U39" s="3020">
        <v>1.71</v>
      </c>
      <c r="V39" s="3020">
        <v>1.89</v>
      </c>
      <c r="W39" s="3020">
        <v>1.98</v>
      </c>
      <c r="X39" s="3020">
        <v>1.44</v>
      </c>
      <c r="Y39" s="3020">
        <v>1.08</v>
      </c>
      <c r="Z39" s="3020">
        <v>1.62</v>
      </c>
    </row>
    <row r="40" spans="2:26">
      <c r="B40" s="3020"/>
      <c r="C40" s="3021">
        <v>38428</v>
      </c>
      <c r="D40" s="3020">
        <v>5.22</v>
      </c>
      <c r="E40" s="3020">
        <v>5.58</v>
      </c>
      <c r="F40" s="3020">
        <v>5.76</v>
      </c>
      <c r="G40" s="3020">
        <v>5.85</v>
      </c>
      <c r="H40" s="3020">
        <v>6.12</v>
      </c>
      <c r="I40" s="3020">
        <v>3.96</v>
      </c>
      <c r="J40" s="3020">
        <v>4.41</v>
      </c>
      <c r="L40" s="3020"/>
      <c r="M40" s="3021">
        <v>36321</v>
      </c>
      <c r="N40" s="3020">
        <v>0.99</v>
      </c>
      <c r="O40" s="3020">
        <v>1.98</v>
      </c>
      <c r="P40" s="3020">
        <v>2.16</v>
      </c>
      <c r="Q40" s="3020">
        <v>2.25</v>
      </c>
      <c r="R40" s="3020">
        <v>2.4300000000000002</v>
      </c>
      <c r="S40" s="3020">
        <v>2.7</v>
      </c>
      <c r="T40" s="3020">
        <v>2.88</v>
      </c>
      <c r="U40" s="3020">
        <v>1.98</v>
      </c>
      <c r="V40" s="3020">
        <v>2.16</v>
      </c>
      <c r="W40" s="3020">
        <v>2.25</v>
      </c>
      <c r="X40" s="3020">
        <v>1.71</v>
      </c>
      <c r="Y40" s="3020">
        <v>1.35</v>
      </c>
      <c r="Z40" s="3020">
        <v>1.89</v>
      </c>
    </row>
    <row r="41" spans="2:26">
      <c r="B41" s="3020"/>
      <c r="C41" s="3021">
        <v>38289</v>
      </c>
      <c r="D41" s="3020">
        <v>5.22</v>
      </c>
      <c r="E41" s="3020">
        <v>5.58</v>
      </c>
      <c r="F41" s="3020">
        <v>5.76</v>
      </c>
      <c r="G41" s="3020">
        <v>5.85</v>
      </c>
      <c r="H41" s="3020">
        <v>6.12</v>
      </c>
      <c r="I41" s="3020">
        <v>3.78</v>
      </c>
      <c r="J41" s="3020">
        <v>4.2300000000000004</v>
      </c>
      <c r="L41" s="3020"/>
      <c r="M41" s="3021">
        <v>36136</v>
      </c>
      <c r="N41" s="3020">
        <v>1.44</v>
      </c>
      <c r="O41" s="3020">
        <v>2.79</v>
      </c>
      <c r="P41" s="3020">
        <v>3.33</v>
      </c>
      <c r="Q41" s="3020">
        <v>3.78</v>
      </c>
      <c r="R41" s="3020">
        <v>3.96</v>
      </c>
      <c r="S41" s="3020">
        <v>4.1399999999999997</v>
      </c>
      <c r="T41" s="3020">
        <v>4.5</v>
      </c>
      <c r="U41" s="3020">
        <v>3.33</v>
      </c>
      <c r="V41" s="3020">
        <v>3.78</v>
      </c>
      <c r="W41" s="3020">
        <v>4.1399999999999997</v>
      </c>
      <c r="X41" s="3020">
        <v>2.16</v>
      </c>
      <c r="Y41" s="3020">
        <v>1.8</v>
      </c>
      <c r="Z41" s="3020">
        <v>2.34</v>
      </c>
    </row>
    <row r="42" spans="2:26">
      <c r="B42" s="3020"/>
      <c r="C42" s="3021">
        <v>37308</v>
      </c>
      <c r="D42" s="3020">
        <v>5.04</v>
      </c>
      <c r="E42" s="3020">
        <v>5.31</v>
      </c>
      <c r="F42" s="3020">
        <v>5.49</v>
      </c>
      <c r="G42" s="3020">
        <v>5.58</v>
      </c>
      <c r="H42" s="3020">
        <v>5.76</v>
      </c>
      <c r="I42" s="3020">
        <v>3.6</v>
      </c>
      <c r="J42" s="3020">
        <v>4.05</v>
      </c>
      <c r="L42" s="3020"/>
      <c r="M42" s="3021">
        <v>35977</v>
      </c>
      <c r="N42" s="3020">
        <v>1.44</v>
      </c>
      <c r="O42" s="3020">
        <v>2.79</v>
      </c>
      <c r="P42" s="3020">
        <v>3.96</v>
      </c>
      <c r="Q42" s="3020">
        <v>4.7699999999999996</v>
      </c>
      <c r="R42" s="3020">
        <v>4.8600000000000003</v>
      </c>
      <c r="S42" s="3020">
        <v>4.95</v>
      </c>
      <c r="T42" s="3020">
        <v>5.22</v>
      </c>
      <c r="U42" s="3020">
        <v>3.96</v>
      </c>
      <c r="V42" s="3020">
        <v>4.7699999999999996</v>
      </c>
      <c r="W42" s="3020">
        <v>4.95</v>
      </c>
      <c r="X42" s="3020" t="s">
        <v>2824</v>
      </c>
      <c r="Y42" s="3020" t="s">
        <v>2824</v>
      </c>
      <c r="Z42" s="3020" t="s">
        <v>2824</v>
      </c>
    </row>
    <row r="43" spans="2:26">
      <c r="B43" s="3020"/>
      <c r="C43" s="3021">
        <v>36321</v>
      </c>
      <c r="D43" s="3020">
        <v>5.58</v>
      </c>
      <c r="E43" s="3020">
        <v>5.85</v>
      </c>
      <c r="F43" s="3020">
        <v>5.94</v>
      </c>
      <c r="G43" s="3020">
        <v>6.03</v>
      </c>
      <c r="H43" s="3020">
        <v>6.21</v>
      </c>
      <c r="I43" s="3020">
        <v>4.1399999999999997</v>
      </c>
      <c r="J43" s="3020">
        <v>4.59</v>
      </c>
      <c r="L43" s="3020"/>
      <c r="M43" s="3021">
        <v>35879</v>
      </c>
      <c r="N43" s="3020">
        <v>1.71</v>
      </c>
      <c r="O43" s="3020">
        <v>2.88</v>
      </c>
      <c r="P43" s="3020">
        <v>4.1399999999999997</v>
      </c>
      <c r="Q43" s="3020">
        <v>5.22</v>
      </c>
      <c r="R43" s="3020">
        <v>5.58</v>
      </c>
      <c r="S43" s="3020">
        <v>6.21</v>
      </c>
      <c r="T43" s="3020">
        <v>6.66</v>
      </c>
      <c r="U43" s="3020">
        <v>4.1399999999999997</v>
      </c>
      <c r="V43" s="3020">
        <v>5.22</v>
      </c>
      <c r="W43" s="3020">
        <v>6.21</v>
      </c>
      <c r="X43" s="3020" t="s">
        <v>2824</v>
      </c>
      <c r="Y43" s="3020" t="s">
        <v>2824</v>
      </c>
      <c r="Z43" s="3020" t="s">
        <v>2824</v>
      </c>
    </row>
    <row r="44" spans="2:26">
      <c r="B44" s="3020"/>
      <c r="C44" s="3021">
        <v>36136</v>
      </c>
      <c r="D44" s="3020">
        <v>6.12</v>
      </c>
      <c r="E44" s="3020">
        <v>6.39</v>
      </c>
      <c r="F44" s="3020">
        <v>6.66</v>
      </c>
      <c r="G44" s="3020">
        <v>7.2</v>
      </c>
      <c r="H44" s="3020">
        <v>7.56</v>
      </c>
      <c r="I44" s="3020">
        <v>0</v>
      </c>
      <c r="J44" s="3020">
        <v>0</v>
      </c>
      <c r="L44" s="3020"/>
      <c r="M44" s="3021">
        <v>35726</v>
      </c>
      <c r="N44" s="3020">
        <v>1.71</v>
      </c>
      <c r="O44" s="3020">
        <v>2.88</v>
      </c>
      <c r="P44" s="3020">
        <v>4.1399999999999997</v>
      </c>
      <c r="Q44" s="3020">
        <v>5.67</v>
      </c>
      <c r="R44" s="3020">
        <v>5.94</v>
      </c>
      <c r="S44" s="3020">
        <v>6.21</v>
      </c>
      <c r="T44" s="3020">
        <v>6.66</v>
      </c>
      <c r="U44" s="3020">
        <v>4.1399999999999997</v>
      </c>
      <c r="V44" s="3020">
        <v>5.67</v>
      </c>
      <c r="W44" s="3020">
        <v>6.21</v>
      </c>
      <c r="X44" s="3020" t="s">
        <v>2824</v>
      </c>
      <c r="Y44" s="3020" t="s">
        <v>2824</v>
      </c>
      <c r="Z44" s="3020" t="s">
        <v>2824</v>
      </c>
    </row>
    <row r="45" spans="2:26">
      <c r="B45" s="3020"/>
      <c r="C45" s="3021">
        <v>35977</v>
      </c>
      <c r="D45" s="3020">
        <v>6.57</v>
      </c>
      <c r="E45" s="3020">
        <v>6.93</v>
      </c>
      <c r="F45" s="3020">
        <v>7.11</v>
      </c>
      <c r="G45" s="3020">
        <v>7.65</v>
      </c>
      <c r="H45" s="3020">
        <v>8.01</v>
      </c>
      <c r="I45" s="3020">
        <v>0</v>
      </c>
      <c r="J45" s="3020">
        <v>0</v>
      </c>
      <c r="L45" s="3020"/>
      <c r="M45" s="3021">
        <v>35300</v>
      </c>
      <c r="N45" s="3020">
        <v>1.98</v>
      </c>
      <c r="O45" s="3020">
        <v>3.33</v>
      </c>
      <c r="P45" s="3020">
        <v>5.4</v>
      </c>
      <c r="Q45" s="3020">
        <v>7.47</v>
      </c>
      <c r="R45" s="3020">
        <v>7.92</v>
      </c>
      <c r="S45" s="3020">
        <v>8.2799999999999994</v>
      </c>
      <c r="T45" s="3020">
        <v>9</v>
      </c>
      <c r="U45" s="3020">
        <v>5.4</v>
      </c>
      <c r="V45" s="3020">
        <v>7.47</v>
      </c>
      <c r="W45" s="3020">
        <v>8.2799999999999994</v>
      </c>
      <c r="X45" s="3020" t="s">
        <v>2824</v>
      </c>
      <c r="Y45" s="3020" t="s">
        <v>2824</v>
      </c>
      <c r="Z45" s="3020" t="s">
        <v>2824</v>
      </c>
    </row>
    <row r="46" spans="2:26">
      <c r="B46" s="3020"/>
      <c r="C46" s="3021">
        <v>35879</v>
      </c>
      <c r="D46" s="3020">
        <v>7.02</v>
      </c>
      <c r="E46" s="3020">
        <v>7.92</v>
      </c>
      <c r="F46" s="3020">
        <v>9</v>
      </c>
      <c r="G46" s="3020">
        <v>9.7200000000000006</v>
      </c>
      <c r="H46" s="3020">
        <v>10.35</v>
      </c>
      <c r="I46" s="3020">
        <v>0</v>
      </c>
      <c r="J46" s="3020">
        <v>0</v>
      </c>
      <c r="L46" s="3020"/>
      <c r="M46" s="3021">
        <v>35186</v>
      </c>
      <c r="N46" s="3020">
        <v>2.97</v>
      </c>
      <c r="O46" s="3020">
        <v>4.8600000000000003</v>
      </c>
      <c r="P46" s="3020">
        <v>7.2</v>
      </c>
      <c r="Q46" s="3020">
        <v>9.18</v>
      </c>
      <c r="R46" s="3020">
        <v>9.9</v>
      </c>
      <c r="S46" s="3020">
        <v>10.8</v>
      </c>
      <c r="T46" s="3020">
        <v>12.06</v>
      </c>
      <c r="U46" s="3020">
        <v>7.2</v>
      </c>
      <c r="V46" s="3020">
        <v>9.18</v>
      </c>
      <c r="W46" s="3020">
        <v>10.8</v>
      </c>
      <c r="X46" s="3020" t="s">
        <v>2824</v>
      </c>
      <c r="Y46" s="3020" t="s">
        <v>2824</v>
      </c>
      <c r="Z46" s="3020" t="s">
        <v>2824</v>
      </c>
    </row>
    <row r="47" spans="2:26">
      <c r="B47" s="3020"/>
      <c r="C47" s="3021">
        <v>35726</v>
      </c>
      <c r="D47" s="3020">
        <v>7.65</v>
      </c>
      <c r="E47" s="3020">
        <v>8.64</v>
      </c>
      <c r="F47" s="3020">
        <v>9.36</v>
      </c>
      <c r="G47" s="3020">
        <v>9.9</v>
      </c>
      <c r="H47" s="3020">
        <v>10.53</v>
      </c>
      <c r="I47" s="3020">
        <v>0</v>
      </c>
      <c r="J47" s="3020">
        <v>0</v>
      </c>
      <c r="L47" s="3020"/>
      <c r="M47" s="3021">
        <v>34161</v>
      </c>
      <c r="N47" s="3020">
        <v>3.15</v>
      </c>
      <c r="O47" s="3020">
        <v>6.66</v>
      </c>
      <c r="P47" s="3020">
        <v>9</v>
      </c>
      <c r="Q47" s="3020">
        <v>10.98</v>
      </c>
      <c r="R47" s="3020">
        <v>11.7</v>
      </c>
      <c r="S47" s="3020">
        <v>12.24</v>
      </c>
      <c r="T47" s="3020">
        <v>13.86</v>
      </c>
      <c r="U47" s="3020">
        <v>9</v>
      </c>
      <c r="V47" s="3020">
        <v>10.98</v>
      </c>
      <c r="W47" s="3020">
        <v>12.24</v>
      </c>
      <c r="X47" s="3020" t="s">
        <v>2824</v>
      </c>
      <c r="Y47" s="3020" t="s">
        <v>2824</v>
      </c>
      <c r="Z47" s="3020" t="s">
        <v>2824</v>
      </c>
    </row>
    <row r="48" spans="2:26">
      <c r="B48" s="3020"/>
      <c r="C48" s="3021">
        <v>35300</v>
      </c>
      <c r="D48" s="3020">
        <v>9.18</v>
      </c>
      <c r="E48" s="3020">
        <v>10.08</v>
      </c>
      <c r="F48" s="3020">
        <v>10.98</v>
      </c>
      <c r="G48" s="3020">
        <v>11.7</v>
      </c>
      <c r="H48" s="3020">
        <v>12.42</v>
      </c>
      <c r="I48" s="3020">
        <v>0</v>
      </c>
      <c r="J48" s="3020">
        <v>0</v>
      </c>
      <c r="L48" s="3020"/>
      <c r="M48" s="3021">
        <v>34104</v>
      </c>
      <c r="N48" s="3020">
        <v>2.16</v>
      </c>
      <c r="O48" s="3020">
        <v>4.8600000000000003</v>
      </c>
      <c r="P48" s="3020">
        <v>7.2</v>
      </c>
      <c r="Q48" s="3020">
        <v>9.18</v>
      </c>
      <c r="R48" s="3020">
        <v>9.9</v>
      </c>
      <c r="S48" s="3020">
        <v>10.8</v>
      </c>
      <c r="T48" s="3020">
        <v>12.06</v>
      </c>
      <c r="U48" s="3020">
        <v>7.2</v>
      </c>
      <c r="V48" s="3020">
        <v>9.18</v>
      </c>
      <c r="W48" s="3020">
        <v>10.8</v>
      </c>
      <c r="X48" s="3020" t="s">
        <v>2824</v>
      </c>
      <c r="Y48" s="3020" t="s">
        <v>2824</v>
      </c>
      <c r="Z48" s="3020" t="s">
        <v>2824</v>
      </c>
    </row>
    <row r="49" spans="2:26">
      <c r="B49" s="3020"/>
      <c r="C49" s="3021">
        <v>35186</v>
      </c>
      <c r="D49" s="3020">
        <v>9.7200000000000006</v>
      </c>
      <c r="E49" s="3020">
        <v>10.98</v>
      </c>
      <c r="F49" s="3020">
        <v>13.14</v>
      </c>
      <c r="G49" s="3020">
        <v>14.94</v>
      </c>
      <c r="H49" s="3020">
        <v>15.12</v>
      </c>
      <c r="I49" s="3020">
        <v>0</v>
      </c>
      <c r="J49" s="3020">
        <v>0</v>
      </c>
      <c r="L49" s="3020"/>
      <c r="M49" s="3021">
        <v>33349</v>
      </c>
      <c r="N49" s="3020">
        <v>1.8</v>
      </c>
      <c r="O49" s="3020">
        <v>3.24</v>
      </c>
      <c r="P49" s="3020">
        <v>5.4</v>
      </c>
      <c r="Q49" s="3020">
        <v>7.56</v>
      </c>
      <c r="R49" s="3020">
        <v>7.92</v>
      </c>
      <c r="S49" s="3020">
        <v>8.2799999999999994</v>
      </c>
      <c r="T49" s="3020">
        <v>9</v>
      </c>
      <c r="U49" s="3020">
        <v>6.12</v>
      </c>
      <c r="V49" s="3020">
        <v>6.84</v>
      </c>
      <c r="W49" s="3020">
        <v>7.56</v>
      </c>
      <c r="X49" s="3020" t="s">
        <v>2824</v>
      </c>
      <c r="Y49" s="3020" t="s">
        <v>2824</v>
      </c>
      <c r="Z49" s="3020" t="s">
        <v>2824</v>
      </c>
    </row>
    <row r="50" spans="2:26">
      <c r="B50" s="3020"/>
      <c r="C50" s="3021">
        <v>34881</v>
      </c>
      <c r="D50" s="3020">
        <v>10.08</v>
      </c>
      <c r="E50" s="3020">
        <v>12.06</v>
      </c>
      <c r="F50" s="3020">
        <v>13.5</v>
      </c>
      <c r="G50" s="3020">
        <v>15.12</v>
      </c>
      <c r="H50" s="3020">
        <v>15.3</v>
      </c>
      <c r="I50" s="3020">
        <v>0</v>
      </c>
      <c r="J50" s="3020">
        <v>0</v>
      </c>
      <c r="L50" s="3020"/>
      <c r="M50" s="3021">
        <v>33106</v>
      </c>
      <c r="N50" s="3020">
        <v>2.16</v>
      </c>
      <c r="O50" s="3020">
        <v>4.32</v>
      </c>
      <c r="P50" s="3020">
        <v>6.48</v>
      </c>
      <c r="Q50" s="3020">
        <v>8.64</v>
      </c>
      <c r="R50" s="3020">
        <v>9.36</v>
      </c>
      <c r="S50" s="3020">
        <v>10.08</v>
      </c>
      <c r="T50" s="3020">
        <v>11.52</v>
      </c>
      <c r="U50" s="3020">
        <v>7.2</v>
      </c>
      <c r="V50" s="3020">
        <v>8.64</v>
      </c>
      <c r="W50" s="3020">
        <v>10.08</v>
      </c>
      <c r="X50" s="3020" t="s">
        <v>2824</v>
      </c>
      <c r="Y50" s="3020" t="s">
        <v>2824</v>
      </c>
      <c r="Z50" s="3020" t="s">
        <v>2824</v>
      </c>
    </row>
    <row r="51" spans="2:26">
      <c r="B51" s="3020"/>
      <c r="C51" s="3021">
        <v>34700</v>
      </c>
      <c r="D51" s="3020">
        <v>9</v>
      </c>
      <c r="E51" s="3020">
        <v>10.98</v>
      </c>
      <c r="F51" s="3020">
        <v>12.96</v>
      </c>
      <c r="G51" s="3020">
        <v>14.58</v>
      </c>
      <c r="H51" s="3020">
        <v>14.76</v>
      </c>
      <c r="I51" s="3020">
        <v>0</v>
      </c>
      <c r="J51" s="3020">
        <v>0</v>
      </c>
      <c r="L51" s="3020"/>
      <c r="M51" s="3021">
        <v>32978</v>
      </c>
      <c r="N51" s="3020">
        <v>2.88</v>
      </c>
      <c r="O51" s="3020">
        <v>6.3</v>
      </c>
      <c r="P51" s="3020">
        <v>7.74</v>
      </c>
      <c r="Q51" s="3020">
        <v>10.08</v>
      </c>
      <c r="R51" s="3020">
        <v>10.98</v>
      </c>
      <c r="S51" s="3020">
        <v>11.88</v>
      </c>
      <c r="T51" s="3020">
        <v>13.68</v>
      </c>
      <c r="U51" s="3020" t="s">
        <v>2824</v>
      </c>
      <c r="V51" s="3020" t="s">
        <v>2824</v>
      </c>
      <c r="W51" s="3020" t="s">
        <v>2824</v>
      </c>
      <c r="X51" s="3020" t="s">
        <v>2824</v>
      </c>
      <c r="Y51" s="3020" t="s">
        <v>2824</v>
      </c>
      <c r="Z51" s="3020" t="s">
        <v>2824</v>
      </c>
    </row>
    <row r="52" spans="2:26">
      <c r="B52" s="3020"/>
      <c r="C52" s="3021">
        <v>34161</v>
      </c>
      <c r="D52" s="3020">
        <v>9</v>
      </c>
      <c r="E52" s="3020">
        <v>10.98</v>
      </c>
      <c r="F52" s="3020">
        <v>12.24</v>
      </c>
      <c r="G52" s="3020">
        <v>13.86</v>
      </c>
      <c r="H52" s="3020">
        <v>14.04</v>
      </c>
      <c r="I52" s="3020">
        <v>0</v>
      </c>
      <c r="J52" s="3020">
        <v>0</v>
      </c>
      <c r="L52" s="3020"/>
      <c r="M52" s="3021"/>
      <c r="N52" s="3020"/>
      <c r="O52" s="3020"/>
      <c r="P52" s="3020"/>
      <c r="Q52" s="3020"/>
      <c r="R52" s="3020"/>
      <c r="S52" s="3020"/>
      <c r="T52" s="3020"/>
      <c r="U52" s="3020"/>
      <c r="V52" s="3020"/>
      <c r="W52" s="3020"/>
      <c r="X52" s="3020"/>
      <c r="Y52" s="3020"/>
      <c r="Z52" s="3020"/>
    </row>
    <row r="53" spans="2:26">
      <c r="B53" s="3020"/>
      <c r="C53" s="3021">
        <v>34104</v>
      </c>
      <c r="D53" s="3020">
        <v>8.82</v>
      </c>
      <c r="E53" s="3020">
        <v>9.36</v>
      </c>
      <c r="F53" s="3020">
        <v>10.8</v>
      </c>
      <c r="G53" s="3020">
        <v>12.06</v>
      </c>
      <c r="H53" s="3020">
        <v>12.24</v>
      </c>
      <c r="I53" s="3020">
        <v>0</v>
      </c>
      <c r="J53" s="3020">
        <v>0</v>
      </c>
      <c r="L53" s="3020"/>
      <c r="M53" s="3021"/>
      <c r="N53" s="3020"/>
      <c r="O53" s="3020"/>
      <c r="P53" s="3020"/>
      <c r="Q53" s="3020"/>
      <c r="R53" s="3020"/>
      <c r="S53" s="3020"/>
      <c r="T53" s="3020"/>
      <c r="U53" s="3020"/>
      <c r="V53" s="3020"/>
      <c r="W53" s="3020"/>
      <c r="X53" s="3020"/>
      <c r="Y53" s="3020"/>
      <c r="Z53" s="3020"/>
    </row>
    <row r="54" spans="2:26">
      <c r="B54" s="3020"/>
      <c r="C54" s="3021">
        <v>33349</v>
      </c>
      <c r="D54" s="3020">
        <v>8.1</v>
      </c>
      <c r="E54" s="3020">
        <v>8.64</v>
      </c>
      <c r="F54" s="3020">
        <v>9</v>
      </c>
      <c r="G54" s="3020">
        <v>9.5399999999999991</v>
      </c>
      <c r="H54" s="3020">
        <v>9.7200000000000006</v>
      </c>
      <c r="I54" s="3020">
        <v>0</v>
      </c>
      <c r="J54" s="3020">
        <v>0</v>
      </c>
      <c r="L54" s="3020"/>
      <c r="M54" s="3021"/>
      <c r="N54" s="3020"/>
      <c r="O54" s="3020"/>
      <c r="P54" s="3020"/>
      <c r="Q54" s="3020"/>
      <c r="R54" s="3020"/>
      <c r="S54" s="3020"/>
      <c r="T54" s="3020"/>
      <c r="U54" s="3020"/>
      <c r="V54" s="3020"/>
      <c r="W54" s="3020"/>
      <c r="X54" s="3020"/>
      <c r="Y54" s="3020"/>
      <c r="Z54" s="3020"/>
    </row>
    <row r="55" spans="2:26">
      <c r="B55" s="3020"/>
      <c r="C55" s="3021">
        <v>33318</v>
      </c>
      <c r="D55" s="3020">
        <v>9</v>
      </c>
      <c r="E55" s="3020">
        <v>10.08</v>
      </c>
      <c r="F55" s="3020">
        <v>10.8</v>
      </c>
      <c r="G55" s="3020">
        <v>11.52</v>
      </c>
      <c r="H55" s="3020">
        <v>11.88</v>
      </c>
      <c r="I55" s="3020" t="s">
        <v>2824</v>
      </c>
      <c r="J55" s="3020" t="s">
        <v>2824</v>
      </c>
      <c r="L55" s="3020"/>
      <c r="M55" s="3021"/>
      <c r="N55" s="3020"/>
      <c r="O55" s="3020"/>
      <c r="P55" s="3020"/>
      <c r="Q55" s="3020"/>
      <c r="R55" s="3020"/>
      <c r="S55" s="3020"/>
      <c r="T55" s="3020"/>
      <c r="U55" s="3020"/>
      <c r="V55" s="3020"/>
      <c r="W55" s="3020"/>
      <c r="X55" s="3020"/>
      <c r="Y55" s="3020"/>
      <c r="Z55" s="3020"/>
    </row>
    <row r="56" spans="2:26">
      <c r="B56" s="3020"/>
      <c r="C56" s="3021">
        <v>33106</v>
      </c>
      <c r="D56" s="3020">
        <v>8.64</v>
      </c>
      <c r="E56" s="3020">
        <v>9.36</v>
      </c>
      <c r="F56" s="3020">
        <v>10.08</v>
      </c>
      <c r="G56" s="3020">
        <v>10.8</v>
      </c>
      <c r="H56" s="3020">
        <v>11.16</v>
      </c>
      <c r="I56" s="3020">
        <v>0</v>
      </c>
      <c r="J56" s="3020">
        <v>0</v>
      </c>
      <c r="L56" s="3020"/>
      <c r="M56" s="3021"/>
      <c r="N56" s="3020"/>
      <c r="O56" s="3020"/>
      <c r="P56" s="3020"/>
      <c r="Q56" s="3020"/>
      <c r="R56" s="3020"/>
      <c r="S56" s="3020"/>
      <c r="T56" s="3020"/>
      <c r="U56" s="3020"/>
      <c r="V56" s="3020"/>
      <c r="W56" s="3020"/>
      <c r="X56" s="3020"/>
      <c r="Y56" s="3020"/>
      <c r="Z56" s="3020"/>
    </row>
    <row r="57" spans="2:26">
      <c r="B57" s="3020"/>
      <c r="C57" s="3021">
        <v>32540</v>
      </c>
      <c r="D57" s="3020">
        <v>11.34</v>
      </c>
      <c r="E57" s="3020">
        <v>11.34</v>
      </c>
      <c r="F57" s="3020">
        <v>12.78</v>
      </c>
      <c r="G57" s="3020">
        <v>14.4</v>
      </c>
      <c r="H57" s="3020">
        <v>19.260000000000002</v>
      </c>
      <c r="I57" s="3020">
        <v>0</v>
      </c>
      <c r="J57" s="3020">
        <v>0</v>
      </c>
      <c r="L57" s="3020"/>
      <c r="M57" s="3021"/>
      <c r="N57" s="3020"/>
      <c r="O57" s="3020"/>
      <c r="P57" s="3020"/>
      <c r="Q57" s="3020"/>
      <c r="R57" s="3020"/>
      <c r="S57" s="3020"/>
      <c r="T57" s="3020"/>
      <c r="U57" s="3020"/>
      <c r="V57" s="3020"/>
      <c r="W57" s="3020"/>
      <c r="X57" s="3020"/>
      <c r="Y57" s="3020"/>
      <c r="Z57" s="3020"/>
    </row>
    <row r="58" spans="2:26">
      <c r="B58" s="3020"/>
      <c r="C58" s="3021"/>
      <c r="D58" s="3020"/>
      <c r="E58" s="3020"/>
      <c r="F58" s="3020"/>
      <c r="G58" s="3020"/>
      <c r="H58" s="3020"/>
      <c r="I58" s="3020"/>
      <c r="J58" s="3020"/>
    </row>
    <row r="59" spans="2:26">
      <c r="B59" s="3024"/>
      <c r="C59" s="3025"/>
      <c r="D59" s="3024"/>
      <c r="E59" s="3024"/>
      <c r="F59" s="3024"/>
      <c r="G59" s="3024"/>
      <c r="H59" s="3024"/>
      <c r="I59" s="3024"/>
      <c r="J59" s="3024"/>
    </row>
    <row r="60" spans="2:26">
      <c r="B60" s="3024"/>
      <c r="C60" s="3025"/>
      <c r="D60" s="3024"/>
      <c r="E60" s="3024"/>
      <c r="F60" s="3024"/>
      <c r="G60" s="3024"/>
      <c r="H60" s="3024"/>
      <c r="I60" s="3024"/>
      <c r="J60" s="3024"/>
    </row>
    <row r="61" spans="2:26">
      <c r="B61" s="3024"/>
      <c r="C61" s="3025"/>
      <c r="D61" s="3024"/>
      <c r="E61" s="3024"/>
      <c r="F61" s="3024"/>
      <c r="G61" s="3024"/>
      <c r="H61" s="3024"/>
      <c r="I61" s="3024"/>
      <c r="J61" s="3024"/>
    </row>
    <row r="62" spans="2:26">
      <c r="B62" s="2971"/>
      <c r="C62" s="2971"/>
      <c r="D62" s="2971"/>
      <c r="E62" s="2971"/>
      <c r="F62" s="2971"/>
      <c r="G62" s="2971"/>
      <c r="H62" s="2971"/>
      <c r="I62" s="2971"/>
      <c r="J62" s="2971"/>
    </row>
    <row r="63" spans="2:26">
      <c r="B63" s="2971"/>
      <c r="C63" s="2971"/>
      <c r="D63" s="2971"/>
      <c r="E63" s="2971"/>
      <c r="F63" s="2971"/>
      <c r="G63" s="2971"/>
      <c r="H63" s="2971"/>
      <c r="I63" s="2971"/>
      <c r="J63" s="297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sqref="A1:XFD1048576"/>
    </sheetView>
  </sheetViews>
  <sheetFormatPr defaultRowHeight="13.5"/>
  <cols>
    <col min="1" max="1" width="40" style="3180" customWidth="1"/>
    <col min="2" max="2" width="6.25" style="3180" customWidth="1"/>
    <col min="3" max="3" width="11.75" style="3180" customWidth="1"/>
    <col min="4" max="4" width="6.25" style="3180" customWidth="1"/>
    <col min="5" max="5" width="14.375" style="3180" customWidth="1"/>
    <col min="6" max="7" width="13.875" style="3180" customWidth="1"/>
    <col min="8" max="8" width="6.25" style="3180" customWidth="1"/>
    <col min="9" max="9" width="13.5" style="3180" customWidth="1"/>
    <col min="10" max="10" width="7.875" style="3180" customWidth="1"/>
    <col min="11" max="11" width="48.75" style="3180" customWidth="1"/>
    <col min="12" max="12" width="10.625" style="3180" customWidth="1"/>
    <col min="13" max="13" width="16" style="3180" customWidth="1"/>
    <col min="14" max="14" width="14.375" style="3180" customWidth="1"/>
    <col min="15" max="256" width="9" style="3180"/>
    <col min="257" max="257" width="40" style="3180" customWidth="1"/>
    <col min="258" max="258" width="6.25" style="3180" customWidth="1"/>
    <col min="259" max="259" width="11.75" style="3180" customWidth="1"/>
    <col min="260" max="260" width="6.25" style="3180" customWidth="1"/>
    <col min="261" max="261" width="14.375" style="3180" customWidth="1"/>
    <col min="262" max="263" width="13.875" style="3180" customWidth="1"/>
    <col min="264" max="264" width="6.25" style="3180" customWidth="1"/>
    <col min="265" max="265" width="13.5" style="3180" customWidth="1"/>
    <col min="266" max="266" width="7.875" style="3180" customWidth="1"/>
    <col min="267" max="267" width="88.25" style="3180" customWidth="1"/>
    <col min="268" max="268" width="10.625" style="3180" customWidth="1"/>
    <col min="269" max="269" width="16" style="3180" customWidth="1"/>
    <col min="270" max="270" width="14.375" style="3180" customWidth="1"/>
    <col min="271" max="512" width="9" style="3180"/>
    <col min="513" max="513" width="40" style="3180" customWidth="1"/>
    <col min="514" max="514" width="6.25" style="3180" customWidth="1"/>
    <col min="515" max="515" width="11.75" style="3180" customWidth="1"/>
    <col min="516" max="516" width="6.25" style="3180" customWidth="1"/>
    <col min="517" max="517" width="14.375" style="3180" customWidth="1"/>
    <col min="518" max="519" width="13.875" style="3180" customWidth="1"/>
    <col min="520" max="520" width="6.25" style="3180" customWidth="1"/>
    <col min="521" max="521" width="13.5" style="3180" customWidth="1"/>
    <col min="522" max="522" width="7.875" style="3180" customWidth="1"/>
    <col min="523" max="523" width="88.25" style="3180" customWidth="1"/>
    <col min="524" max="524" width="10.625" style="3180" customWidth="1"/>
    <col min="525" max="525" width="16" style="3180" customWidth="1"/>
    <col min="526" max="526" width="14.375" style="3180" customWidth="1"/>
    <col min="527" max="768" width="9" style="3180"/>
    <col min="769" max="769" width="40" style="3180" customWidth="1"/>
    <col min="770" max="770" width="6.25" style="3180" customWidth="1"/>
    <col min="771" max="771" width="11.75" style="3180" customWidth="1"/>
    <col min="772" max="772" width="6.25" style="3180" customWidth="1"/>
    <col min="773" max="773" width="14.375" style="3180" customWidth="1"/>
    <col min="774" max="775" width="13.875" style="3180" customWidth="1"/>
    <col min="776" max="776" width="6.25" style="3180" customWidth="1"/>
    <col min="777" max="777" width="13.5" style="3180" customWidth="1"/>
    <col min="778" max="778" width="7.875" style="3180" customWidth="1"/>
    <col min="779" max="779" width="88.25" style="3180" customWidth="1"/>
    <col min="780" max="780" width="10.625" style="3180" customWidth="1"/>
    <col min="781" max="781" width="16" style="3180" customWidth="1"/>
    <col min="782" max="782" width="14.375" style="3180" customWidth="1"/>
    <col min="783" max="1024" width="9" style="3180"/>
    <col min="1025" max="1025" width="40" style="3180" customWidth="1"/>
    <col min="1026" max="1026" width="6.25" style="3180" customWidth="1"/>
    <col min="1027" max="1027" width="11.75" style="3180" customWidth="1"/>
    <col min="1028" max="1028" width="6.25" style="3180" customWidth="1"/>
    <col min="1029" max="1029" width="14.375" style="3180" customWidth="1"/>
    <col min="1030" max="1031" width="13.875" style="3180" customWidth="1"/>
    <col min="1032" max="1032" width="6.25" style="3180" customWidth="1"/>
    <col min="1033" max="1033" width="13.5" style="3180" customWidth="1"/>
    <col min="1034" max="1034" width="7.875" style="3180" customWidth="1"/>
    <col min="1035" max="1035" width="88.25" style="3180" customWidth="1"/>
    <col min="1036" max="1036" width="10.625" style="3180" customWidth="1"/>
    <col min="1037" max="1037" width="16" style="3180" customWidth="1"/>
    <col min="1038" max="1038" width="14.375" style="3180" customWidth="1"/>
    <col min="1039" max="1280" width="9" style="3180"/>
    <col min="1281" max="1281" width="40" style="3180" customWidth="1"/>
    <col min="1282" max="1282" width="6.25" style="3180" customWidth="1"/>
    <col min="1283" max="1283" width="11.75" style="3180" customWidth="1"/>
    <col min="1284" max="1284" width="6.25" style="3180" customWidth="1"/>
    <col min="1285" max="1285" width="14.375" style="3180" customWidth="1"/>
    <col min="1286" max="1287" width="13.875" style="3180" customWidth="1"/>
    <col min="1288" max="1288" width="6.25" style="3180" customWidth="1"/>
    <col min="1289" max="1289" width="13.5" style="3180" customWidth="1"/>
    <col min="1290" max="1290" width="7.875" style="3180" customWidth="1"/>
    <col min="1291" max="1291" width="88.25" style="3180" customWidth="1"/>
    <col min="1292" max="1292" width="10.625" style="3180" customWidth="1"/>
    <col min="1293" max="1293" width="16" style="3180" customWidth="1"/>
    <col min="1294" max="1294" width="14.375" style="3180" customWidth="1"/>
    <col min="1295" max="1536" width="9" style="3180"/>
    <col min="1537" max="1537" width="40" style="3180" customWidth="1"/>
    <col min="1538" max="1538" width="6.25" style="3180" customWidth="1"/>
    <col min="1539" max="1539" width="11.75" style="3180" customWidth="1"/>
    <col min="1540" max="1540" width="6.25" style="3180" customWidth="1"/>
    <col min="1541" max="1541" width="14.375" style="3180" customWidth="1"/>
    <col min="1542" max="1543" width="13.875" style="3180" customWidth="1"/>
    <col min="1544" max="1544" width="6.25" style="3180" customWidth="1"/>
    <col min="1545" max="1545" width="13.5" style="3180" customWidth="1"/>
    <col min="1546" max="1546" width="7.875" style="3180" customWidth="1"/>
    <col min="1547" max="1547" width="88.25" style="3180" customWidth="1"/>
    <col min="1548" max="1548" width="10.625" style="3180" customWidth="1"/>
    <col min="1549" max="1549" width="16" style="3180" customWidth="1"/>
    <col min="1550" max="1550" width="14.375" style="3180" customWidth="1"/>
    <col min="1551" max="1792" width="9" style="3180"/>
    <col min="1793" max="1793" width="40" style="3180" customWidth="1"/>
    <col min="1794" max="1794" width="6.25" style="3180" customWidth="1"/>
    <col min="1795" max="1795" width="11.75" style="3180" customWidth="1"/>
    <col min="1796" max="1796" width="6.25" style="3180" customWidth="1"/>
    <col min="1797" max="1797" width="14.375" style="3180" customWidth="1"/>
    <col min="1798" max="1799" width="13.875" style="3180" customWidth="1"/>
    <col min="1800" max="1800" width="6.25" style="3180" customWidth="1"/>
    <col min="1801" max="1801" width="13.5" style="3180" customWidth="1"/>
    <col min="1802" max="1802" width="7.875" style="3180" customWidth="1"/>
    <col min="1803" max="1803" width="88.25" style="3180" customWidth="1"/>
    <col min="1804" max="1804" width="10.625" style="3180" customWidth="1"/>
    <col min="1805" max="1805" width="16" style="3180" customWidth="1"/>
    <col min="1806" max="1806" width="14.375" style="3180" customWidth="1"/>
    <col min="1807" max="2048" width="9" style="3180"/>
    <col min="2049" max="2049" width="40" style="3180" customWidth="1"/>
    <col min="2050" max="2050" width="6.25" style="3180" customWidth="1"/>
    <col min="2051" max="2051" width="11.75" style="3180" customWidth="1"/>
    <col min="2052" max="2052" width="6.25" style="3180" customWidth="1"/>
    <col min="2053" max="2053" width="14.375" style="3180" customWidth="1"/>
    <col min="2054" max="2055" width="13.875" style="3180" customWidth="1"/>
    <col min="2056" max="2056" width="6.25" style="3180" customWidth="1"/>
    <col min="2057" max="2057" width="13.5" style="3180" customWidth="1"/>
    <col min="2058" max="2058" width="7.875" style="3180" customWidth="1"/>
    <col min="2059" max="2059" width="88.25" style="3180" customWidth="1"/>
    <col min="2060" max="2060" width="10.625" style="3180" customWidth="1"/>
    <col min="2061" max="2061" width="16" style="3180" customWidth="1"/>
    <col min="2062" max="2062" width="14.375" style="3180" customWidth="1"/>
    <col min="2063" max="2304" width="9" style="3180"/>
    <col min="2305" max="2305" width="40" style="3180" customWidth="1"/>
    <col min="2306" max="2306" width="6.25" style="3180" customWidth="1"/>
    <col min="2307" max="2307" width="11.75" style="3180" customWidth="1"/>
    <col min="2308" max="2308" width="6.25" style="3180" customWidth="1"/>
    <col min="2309" max="2309" width="14.375" style="3180" customWidth="1"/>
    <col min="2310" max="2311" width="13.875" style="3180" customWidth="1"/>
    <col min="2312" max="2312" width="6.25" style="3180" customWidth="1"/>
    <col min="2313" max="2313" width="13.5" style="3180" customWidth="1"/>
    <col min="2314" max="2314" width="7.875" style="3180" customWidth="1"/>
    <col min="2315" max="2315" width="88.25" style="3180" customWidth="1"/>
    <col min="2316" max="2316" width="10.625" style="3180" customWidth="1"/>
    <col min="2317" max="2317" width="16" style="3180" customWidth="1"/>
    <col min="2318" max="2318" width="14.375" style="3180" customWidth="1"/>
    <col min="2319" max="2560" width="9" style="3180"/>
    <col min="2561" max="2561" width="40" style="3180" customWidth="1"/>
    <col min="2562" max="2562" width="6.25" style="3180" customWidth="1"/>
    <col min="2563" max="2563" width="11.75" style="3180" customWidth="1"/>
    <col min="2564" max="2564" width="6.25" style="3180" customWidth="1"/>
    <col min="2565" max="2565" width="14.375" style="3180" customWidth="1"/>
    <col min="2566" max="2567" width="13.875" style="3180" customWidth="1"/>
    <col min="2568" max="2568" width="6.25" style="3180" customWidth="1"/>
    <col min="2569" max="2569" width="13.5" style="3180" customWidth="1"/>
    <col min="2570" max="2570" width="7.875" style="3180" customWidth="1"/>
    <col min="2571" max="2571" width="88.25" style="3180" customWidth="1"/>
    <col min="2572" max="2572" width="10.625" style="3180" customWidth="1"/>
    <col min="2573" max="2573" width="16" style="3180" customWidth="1"/>
    <col min="2574" max="2574" width="14.375" style="3180" customWidth="1"/>
    <col min="2575" max="2816" width="9" style="3180"/>
    <col min="2817" max="2817" width="40" style="3180" customWidth="1"/>
    <col min="2818" max="2818" width="6.25" style="3180" customWidth="1"/>
    <col min="2819" max="2819" width="11.75" style="3180" customWidth="1"/>
    <col min="2820" max="2820" width="6.25" style="3180" customWidth="1"/>
    <col min="2821" max="2821" width="14.375" style="3180" customWidth="1"/>
    <col min="2822" max="2823" width="13.875" style="3180" customWidth="1"/>
    <col min="2824" max="2824" width="6.25" style="3180" customWidth="1"/>
    <col min="2825" max="2825" width="13.5" style="3180" customWidth="1"/>
    <col min="2826" max="2826" width="7.875" style="3180" customWidth="1"/>
    <col min="2827" max="2827" width="88.25" style="3180" customWidth="1"/>
    <col min="2828" max="2828" width="10.625" style="3180" customWidth="1"/>
    <col min="2829" max="2829" width="16" style="3180" customWidth="1"/>
    <col min="2830" max="2830" width="14.375" style="3180" customWidth="1"/>
    <col min="2831" max="3072" width="9" style="3180"/>
    <col min="3073" max="3073" width="40" style="3180" customWidth="1"/>
    <col min="3074" max="3074" width="6.25" style="3180" customWidth="1"/>
    <col min="3075" max="3075" width="11.75" style="3180" customWidth="1"/>
    <col min="3076" max="3076" width="6.25" style="3180" customWidth="1"/>
    <col min="3077" max="3077" width="14.375" style="3180" customWidth="1"/>
    <col min="3078" max="3079" width="13.875" style="3180" customWidth="1"/>
    <col min="3080" max="3080" width="6.25" style="3180" customWidth="1"/>
    <col min="3081" max="3081" width="13.5" style="3180" customWidth="1"/>
    <col min="3082" max="3082" width="7.875" style="3180" customWidth="1"/>
    <col min="3083" max="3083" width="88.25" style="3180" customWidth="1"/>
    <col min="3084" max="3084" width="10.625" style="3180" customWidth="1"/>
    <col min="3085" max="3085" width="16" style="3180" customWidth="1"/>
    <col min="3086" max="3086" width="14.375" style="3180" customWidth="1"/>
    <col min="3087" max="3328" width="9" style="3180"/>
    <col min="3329" max="3329" width="40" style="3180" customWidth="1"/>
    <col min="3330" max="3330" width="6.25" style="3180" customWidth="1"/>
    <col min="3331" max="3331" width="11.75" style="3180" customWidth="1"/>
    <col min="3332" max="3332" width="6.25" style="3180" customWidth="1"/>
    <col min="3333" max="3333" width="14.375" style="3180" customWidth="1"/>
    <col min="3334" max="3335" width="13.875" style="3180" customWidth="1"/>
    <col min="3336" max="3336" width="6.25" style="3180" customWidth="1"/>
    <col min="3337" max="3337" width="13.5" style="3180" customWidth="1"/>
    <col min="3338" max="3338" width="7.875" style="3180" customWidth="1"/>
    <col min="3339" max="3339" width="88.25" style="3180" customWidth="1"/>
    <col min="3340" max="3340" width="10.625" style="3180" customWidth="1"/>
    <col min="3341" max="3341" width="16" style="3180" customWidth="1"/>
    <col min="3342" max="3342" width="14.375" style="3180" customWidth="1"/>
    <col min="3343" max="3584" width="9" style="3180"/>
    <col min="3585" max="3585" width="40" style="3180" customWidth="1"/>
    <col min="3586" max="3586" width="6.25" style="3180" customWidth="1"/>
    <col min="3587" max="3587" width="11.75" style="3180" customWidth="1"/>
    <col min="3588" max="3588" width="6.25" style="3180" customWidth="1"/>
    <col min="3589" max="3589" width="14.375" style="3180" customWidth="1"/>
    <col min="3590" max="3591" width="13.875" style="3180" customWidth="1"/>
    <col min="3592" max="3592" width="6.25" style="3180" customWidth="1"/>
    <col min="3593" max="3593" width="13.5" style="3180" customWidth="1"/>
    <col min="3594" max="3594" width="7.875" style="3180" customWidth="1"/>
    <col min="3595" max="3595" width="88.25" style="3180" customWidth="1"/>
    <col min="3596" max="3596" width="10.625" style="3180" customWidth="1"/>
    <col min="3597" max="3597" width="16" style="3180" customWidth="1"/>
    <col min="3598" max="3598" width="14.375" style="3180" customWidth="1"/>
    <col min="3599" max="3840" width="9" style="3180"/>
    <col min="3841" max="3841" width="40" style="3180" customWidth="1"/>
    <col min="3842" max="3842" width="6.25" style="3180" customWidth="1"/>
    <col min="3843" max="3843" width="11.75" style="3180" customWidth="1"/>
    <col min="3844" max="3844" width="6.25" style="3180" customWidth="1"/>
    <col min="3845" max="3845" width="14.375" style="3180" customWidth="1"/>
    <col min="3846" max="3847" width="13.875" style="3180" customWidth="1"/>
    <col min="3848" max="3848" width="6.25" style="3180" customWidth="1"/>
    <col min="3849" max="3849" width="13.5" style="3180" customWidth="1"/>
    <col min="3850" max="3850" width="7.875" style="3180" customWidth="1"/>
    <col min="3851" max="3851" width="88.25" style="3180" customWidth="1"/>
    <col min="3852" max="3852" width="10.625" style="3180" customWidth="1"/>
    <col min="3853" max="3853" width="16" style="3180" customWidth="1"/>
    <col min="3854" max="3854" width="14.375" style="3180" customWidth="1"/>
    <col min="3855" max="4096" width="9" style="3180"/>
    <col min="4097" max="4097" width="40" style="3180" customWidth="1"/>
    <col min="4098" max="4098" width="6.25" style="3180" customWidth="1"/>
    <col min="4099" max="4099" width="11.75" style="3180" customWidth="1"/>
    <col min="4100" max="4100" width="6.25" style="3180" customWidth="1"/>
    <col min="4101" max="4101" width="14.375" style="3180" customWidth="1"/>
    <col min="4102" max="4103" width="13.875" style="3180" customWidth="1"/>
    <col min="4104" max="4104" width="6.25" style="3180" customWidth="1"/>
    <col min="4105" max="4105" width="13.5" style="3180" customWidth="1"/>
    <col min="4106" max="4106" width="7.875" style="3180" customWidth="1"/>
    <col min="4107" max="4107" width="88.25" style="3180" customWidth="1"/>
    <col min="4108" max="4108" width="10.625" style="3180" customWidth="1"/>
    <col min="4109" max="4109" width="16" style="3180" customWidth="1"/>
    <col min="4110" max="4110" width="14.375" style="3180" customWidth="1"/>
    <col min="4111" max="4352" width="9" style="3180"/>
    <col min="4353" max="4353" width="40" style="3180" customWidth="1"/>
    <col min="4354" max="4354" width="6.25" style="3180" customWidth="1"/>
    <col min="4355" max="4355" width="11.75" style="3180" customWidth="1"/>
    <col min="4356" max="4356" width="6.25" style="3180" customWidth="1"/>
    <col min="4357" max="4357" width="14.375" style="3180" customWidth="1"/>
    <col min="4358" max="4359" width="13.875" style="3180" customWidth="1"/>
    <col min="4360" max="4360" width="6.25" style="3180" customWidth="1"/>
    <col min="4361" max="4361" width="13.5" style="3180" customWidth="1"/>
    <col min="4362" max="4362" width="7.875" style="3180" customWidth="1"/>
    <col min="4363" max="4363" width="88.25" style="3180" customWidth="1"/>
    <col min="4364" max="4364" width="10.625" style="3180" customWidth="1"/>
    <col min="4365" max="4365" width="16" style="3180" customWidth="1"/>
    <col min="4366" max="4366" width="14.375" style="3180" customWidth="1"/>
    <col min="4367" max="4608" width="9" style="3180"/>
    <col min="4609" max="4609" width="40" style="3180" customWidth="1"/>
    <col min="4610" max="4610" width="6.25" style="3180" customWidth="1"/>
    <col min="4611" max="4611" width="11.75" style="3180" customWidth="1"/>
    <col min="4612" max="4612" width="6.25" style="3180" customWidth="1"/>
    <col min="4613" max="4613" width="14.375" style="3180" customWidth="1"/>
    <col min="4614" max="4615" width="13.875" style="3180" customWidth="1"/>
    <col min="4616" max="4616" width="6.25" style="3180" customWidth="1"/>
    <col min="4617" max="4617" width="13.5" style="3180" customWidth="1"/>
    <col min="4618" max="4618" width="7.875" style="3180" customWidth="1"/>
    <col min="4619" max="4619" width="88.25" style="3180" customWidth="1"/>
    <col min="4620" max="4620" width="10.625" style="3180" customWidth="1"/>
    <col min="4621" max="4621" width="16" style="3180" customWidth="1"/>
    <col min="4622" max="4622" width="14.375" style="3180" customWidth="1"/>
    <col min="4623" max="4864" width="9" style="3180"/>
    <col min="4865" max="4865" width="40" style="3180" customWidth="1"/>
    <col min="4866" max="4866" width="6.25" style="3180" customWidth="1"/>
    <col min="4867" max="4867" width="11.75" style="3180" customWidth="1"/>
    <col min="4868" max="4868" width="6.25" style="3180" customWidth="1"/>
    <col min="4869" max="4869" width="14.375" style="3180" customWidth="1"/>
    <col min="4870" max="4871" width="13.875" style="3180" customWidth="1"/>
    <col min="4872" max="4872" width="6.25" style="3180" customWidth="1"/>
    <col min="4873" max="4873" width="13.5" style="3180" customWidth="1"/>
    <col min="4874" max="4874" width="7.875" style="3180" customWidth="1"/>
    <col min="4875" max="4875" width="88.25" style="3180" customWidth="1"/>
    <col min="4876" max="4876" width="10.625" style="3180" customWidth="1"/>
    <col min="4877" max="4877" width="16" style="3180" customWidth="1"/>
    <col min="4878" max="4878" width="14.375" style="3180" customWidth="1"/>
    <col min="4879" max="5120" width="9" style="3180"/>
    <col min="5121" max="5121" width="40" style="3180" customWidth="1"/>
    <col min="5122" max="5122" width="6.25" style="3180" customWidth="1"/>
    <col min="5123" max="5123" width="11.75" style="3180" customWidth="1"/>
    <col min="5124" max="5124" width="6.25" style="3180" customWidth="1"/>
    <col min="5125" max="5125" width="14.375" style="3180" customWidth="1"/>
    <col min="5126" max="5127" width="13.875" style="3180" customWidth="1"/>
    <col min="5128" max="5128" width="6.25" style="3180" customWidth="1"/>
    <col min="5129" max="5129" width="13.5" style="3180" customWidth="1"/>
    <col min="5130" max="5130" width="7.875" style="3180" customWidth="1"/>
    <col min="5131" max="5131" width="88.25" style="3180" customWidth="1"/>
    <col min="5132" max="5132" width="10.625" style="3180" customWidth="1"/>
    <col min="5133" max="5133" width="16" style="3180" customWidth="1"/>
    <col min="5134" max="5134" width="14.375" style="3180" customWidth="1"/>
    <col min="5135" max="5376" width="9" style="3180"/>
    <col min="5377" max="5377" width="40" style="3180" customWidth="1"/>
    <col min="5378" max="5378" width="6.25" style="3180" customWidth="1"/>
    <col min="5379" max="5379" width="11.75" style="3180" customWidth="1"/>
    <col min="5380" max="5380" width="6.25" style="3180" customWidth="1"/>
    <col min="5381" max="5381" width="14.375" style="3180" customWidth="1"/>
    <col min="5382" max="5383" width="13.875" style="3180" customWidth="1"/>
    <col min="5384" max="5384" width="6.25" style="3180" customWidth="1"/>
    <col min="5385" max="5385" width="13.5" style="3180" customWidth="1"/>
    <col min="5386" max="5386" width="7.875" style="3180" customWidth="1"/>
    <col min="5387" max="5387" width="88.25" style="3180" customWidth="1"/>
    <col min="5388" max="5388" width="10.625" style="3180" customWidth="1"/>
    <col min="5389" max="5389" width="16" style="3180" customWidth="1"/>
    <col min="5390" max="5390" width="14.375" style="3180" customWidth="1"/>
    <col min="5391" max="5632" width="9" style="3180"/>
    <col min="5633" max="5633" width="40" style="3180" customWidth="1"/>
    <col min="5634" max="5634" width="6.25" style="3180" customWidth="1"/>
    <col min="5635" max="5635" width="11.75" style="3180" customWidth="1"/>
    <col min="5636" max="5636" width="6.25" style="3180" customWidth="1"/>
    <col min="5637" max="5637" width="14.375" style="3180" customWidth="1"/>
    <col min="5638" max="5639" width="13.875" style="3180" customWidth="1"/>
    <col min="5640" max="5640" width="6.25" style="3180" customWidth="1"/>
    <col min="5641" max="5641" width="13.5" style="3180" customWidth="1"/>
    <col min="5642" max="5642" width="7.875" style="3180" customWidth="1"/>
    <col min="5643" max="5643" width="88.25" style="3180" customWidth="1"/>
    <col min="5644" max="5644" width="10.625" style="3180" customWidth="1"/>
    <col min="5645" max="5645" width="16" style="3180" customWidth="1"/>
    <col min="5646" max="5646" width="14.375" style="3180" customWidth="1"/>
    <col min="5647" max="5888" width="9" style="3180"/>
    <col min="5889" max="5889" width="40" style="3180" customWidth="1"/>
    <col min="5890" max="5890" width="6.25" style="3180" customWidth="1"/>
    <col min="5891" max="5891" width="11.75" style="3180" customWidth="1"/>
    <col min="5892" max="5892" width="6.25" style="3180" customWidth="1"/>
    <col min="5893" max="5893" width="14.375" style="3180" customWidth="1"/>
    <col min="5894" max="5895" width="13.875" style="3180" customWidth="1"/>
    <col min="5896" max="5896" width="6.25" style="3180" customWidth="1"/>
    <col min="5897" max="5897" width="13.5" style="3180" customWidth="1"/>
    <col min="5898" max="5898" width="7.875" style="3180" customWidth="1"/>
    <col min="5899" max="5899" width="88.25" style="3180" customWidth="1"/>
    <col min="5900" max="5900" width="10.625" style="3180" customWidth="1"/>
    <col min="5901" max="5901" width="16" style="3180" customWidth="1"/>
    <col min="5902" max="5902" width="14.375" style="3180" customWidth="1"/>
    <col min="5903" max="6144" width="9" style="3180"/>
    <col min="6145" max="6145" width="40" style="3180" customWidth="1"/>
    <col min="6146" max="6146" width="6.25" style="3180" customWidth="1"/>
    <col min="6147" max="6147" width="11.75" style="3180" customWidth="1"/>
    <col min="6148" max="6148" width="6.25" style="3180" customWidth="1"/>
    <col min="6149" max="6149" width="14.375" style="3180" customWidth="1"/>
    <col min="6150" max="6151" width="13.875" style="3180" customWidth="1"/>
    <col min="6152" max="6152" width="6.25" style="3180" customWidth="1"/>
    <col min="6153" max="6153" width="13.5" style="3180" customWidth="1"/>
    <col min="6154" max="6154" width="7.875" style="3180" customWidth="1"/>
    <col min="6155" max="6155" width="88.25" style="3180" customWidth="1"/>
    <col min="6156" max="6156" width="10.625" style="3180" customWidth="1"/>
    <col min="6157" max="6157" width="16" style="3180" customWidth="1"/>
    <col min="6158" max="6158" width="14.375" style="3180" customWidth="1"/>
    <col min="6159" max="6400" width="9" style="3180"/>
    <col min="6401" max="6401" width="40" style="3180" customWidth="1"/>
    <col min="6402" max="6402" width="6.25" style="3180" customWidth="1"/>
    <col min="6403" max="6403" width="11.75" style="3180" customWidth="1"/>
    <col min="6404" max="6404" width="6.25" style="3180" customWidth="1"/>
    <col min="6405" max="6405" width="14.375" style="3180" customWidth="1"/>
    <col min="6406" max="6407" width="13.875" style="3180" customWidth="1"/>
    <col min="6408" max="6408" width="6.25" style="3180" customWidth="1"/>
    <col min="6409" max="6409" width="13.5" style="3180" customWidth="1"/>
    <col min="6410" max="6410" width="7.875" style="3180" customWidth="1"/>
    <col min="6411" max="6411" width="88.25" style="3180" customWidth="1"/>
    <col min="6412" max="6412" width="10.625" style="3180" customWidth="1"/>
    <col min="6413" max="6413" width="16" style="3180" customWidth="1"/>
    <col min="6414" max="6414" width="14.375" style="3180" customWidth="1"/>
    <col min="6415" max="6656" width="9" style="3180"/>
    <col min="6657" max="6657" width="40" style="3180" customWidth="1"/>
    <col min="6658" max="6658" width="6.25" style="3180" customWidth="1"/>
    <col min="6659" max="6659" width="11.75" style="3180" customWidth="1"/>
    <col min="6660" max="6660" width="6.25" style="3180" customWidth="1"/>
    <col min="6661" max="6661" width="14.375" style="3180" customWidth="1"/>
    <col min="6662" max="6663" width="13.875" style="3180" customWidth="1"/>
    <col min="6664" max="6664" width="6.25" style="3180" customWidth="1"/>
    <col min="6665" max="6665" width="13.5" style="3180" customWidth="1"/>
    <col min="6666" max="6666" width="7.875" style="3180" customWidth="1"/>
    <col min="6667" max="6667" width="88.25" style="3180" customWidth="1"/>
    <col min="6668" max="6668" width="10.625" style="3180" customWidth="1"/>
    <col min="6669" max="6669" width="16" style="3180" customWidth="1"/>
    <col min="6670" max="6670" width="14.375" style="3180" customWidth="1"/>
    <col min="6671" max="6912" width="9" style="3180"/>
    <col min="6913" max="6913" width="40" style="3180" customWidth="1"/>
    <col min="6914" max="6914" width="6.25" style="3180" customWidth="1"/>
    <col min="6915" max="6915" width="11.75" style="3180" customWidth="1"/>
    <col min="6916" max="6916" width="6.25" style="3180" customWidth="1"/>
    <col min="6917" max="6917" width="14.375" style="3180" customWidth="1"/>
    <col min="6918" max="6919" width="13.875" style="3180" customWidth="1"/>
    <col min="6920" max="6920" width="6.25" style="3180" customWidth="1"/>
    <col min="6921" max="6921" width="13.5" style="3180" customWidth="1"/>
    <col min="6922" max="6922" width="7.875" style="3180" customWidth="1"/>
    <col min="6923" max="6923" width="88.25" style="3180" customWidth="1"/>
    <col min="6924" max="6924" width="10.625" style="3180" customWidth="1"/>
    <col min="6925" max="6925" width="16" style="3180" customWidth="1"/>
    <col min="6926" max="6926" width="14.375" style="3180" customWidth="1"/>
    <col min="6927" max="7168" width="9" style="3180"/>
    <col min="7169" max="7169" width="40" style="3180" customWidth="1"/>
    <col min="7170" max="7170" width="6.25" style="3180" customWidth="1"/>
    <col min="7171" max="7171" width="11.75" style="3180" customWidth="1"/>
    <col min="7172" max="7172" width="6.25" style="3180" customWidth="1"/>
    <col min="7173" max="7173" width="14.375" style="3180" customWidth="1"/>
    <col min="7174" max="7175" width="13.875" style="3180" customWidth="1"/>
    <col min="7176" max="7176" width="6.25" style="3180" customWidth="1"/>
    <col min="7177" max="7177" width="13.5" style="3180" customWidth="1"/>
    <col min="7178" max="7178" width="7.875" style="3180" customWidth="1"/>
    <col min="7179" max="7179" width="88.25" style="3180" customWidth="1"/>
    <col min="7180" max="7180" width="10.625" style="3180" customWidth="1"/>
    <col min="7181" max="7181" width="16" style="3180" customWidth="1"/>
    <col min="7182" max="7182" width="14.375" style="3180" customWidth="1"/>
    <col min="7183" max="7424" width="9" style="3180"/>
    <col min="7425" max="7425" width="40" style="3180" customWidth="1"/>
    <col min="7426" max="7426" width="6.25" style="3180" customWidth="1"/>
    <col min="7427" max="7427" width="11.75" style="3180" customWidth="1"/>
    <col min="7428" max="7428" width="6.25" style="3180" customWidth="1"/>
    <col min="7429" max="7429" width="14.375" style="3180" customWidth="1"/>
    <col min="7430" max="7431" width="13.875" style="3180" customWidth="1"/>
    <col min="7432" max="7432" width="6.25" style="3180" customWidth="1"/>
    <col min="7433" max="7433" width="13.5" style="3180" customWidth="1"/>
    <col min="7434" max="7434" width="7.875" style="3180" customWidth="1"/>
    <col min="7435" max="7435" width="88.25" style="3180" customWidth="1"/>
    <col min="7436" max="7436" width="10.625" style="3180" customWidth="1"/>
    <col min="7437" max="7437" width="16" style="3180" customWidth="1"/>
    <col min="7438" max="7438" width="14.375" style="3180" customWidth="1"/>
    <col min="7439" max="7680" width="9" style="3180"/>
    <col min="7681" max="7681" width="40" style="3180" customWidth="1"/>
    <col min="7682" max="7682" width="6.25" style="3180" customWidth="1"/>
    <col min="7683" max="7683" width="11.75" style="3180" customWidth="1"/>
    <col min="7684" max="7684" width="6.25" style="3180" customWidth="1"/>
    <col min="7685" max="7685" width="14.375" style="3180" customWidth="1"/>
    <col min="7686" max="7687" width="13.875" style="3180" customWidth="1"/>
    <col min="7688" max="7688" width="6.25" style="3180" customWidth="1"/>
    <col min="7689" max="7689" width="13.5" style="3180" customWidth="1"/>
    <col min="7690" max="7690" width="7.875" style="3180" customWidth="1"/>
    <col min="7691" max="7691" width="88.25" style="3180" customWidth="1"/>
    <col min="7692" max="7692" width="10.625" style="3180" customWidth="1"/>
    <col min="7693" max="7693" width="16" style="3180" customWidth="1"/>
    <col min="7694" max="7694" width="14.375" style="3180" customWidth="1"/>
    <col min="7695" max="7936" width="9" style="3180"/>
    <col min="7937" max="7937" width="40" style="3180" customWidth="1"/>
    <col min="7938" max="7938" width="6.25" style="3180" customWidth="1"/>
    <col min="7939" max="7939" width="11.75" style="3180" customWidth="1"/>
    <col min="7940" max="7940" width="6.25" style="3180" customWidth="1"/>
    <col min="7941" max="7941" width="14.375" style="3180" customWidth="1"/>
    <col min="7942" max="7943" width="13.875" style="3180" customWidth="1"/>
    <col min="7944" max="7944" width="6.25" style="3180" customWidth="1"/>
    <col min="7945" max="7945" width="13.5" style="3180" customWidth="1"/>
    <col min="7946" max="7946" width="7.875" style="3180" customWidth="1"/>
    <col min="7947" max="7947" width="88.25" style="3180" customWidth="1"/>
    <col min="7948" max="7948" width="10.625" style="3180" customWidth="1"/>
    <col min="7949" max="7949" width="16" style="3180" customWidth="1"/>
    <col min="7950" max="7950" width="14.375" style="3180" customWidth="1"/>
    <col min="7951" max="8192" width="9" style="3180"/>
    <col min="8193" max="8193" width="40" style="3180" customWidth="1"/>
    <col min="8194" max="8194" width="6.25" style="3180" customWidth="1"/>
    <col min="8195" max="8195" width="11.75" style="3180" customWidth="1"/>
    <col min="8196" max="8196" width="6.25" style="3180" customWidth="1"/>
    <col min="8197" max="8197" width="14.375" style="3180" customWidth="1"/>
    <col min="8198" max="8199" width="13.875" style="3180" customWidth="1"/>
    <col min="8200" max="8200" width="6.25" style="3180" customWidth="1"/>
    <col min="8201" max="8201" width="13.5" style="3180" customWidth="1"/>
    <col min="8202" max="8202" width="7.875" style="3180" customWidth="1"/>
    <col min="8203" max="8203" width="88.25" style="3180" customWidth="1"/>
    <col min="8204" max="8204" width="10.625" style="3180" customWidth="1"/>
    <col min="8205" max="8205" width="16" style="3180" customWidth="1"/>
    <col min="8206" max="8206" width="14.375" style="3180" customWidth="1"/>
    <col min="8207" max="8448" width="9" style="3180"/>
    <col min="8449" max="8449" width="40" style="3180" customWidth="1"/>
    <col min="8450" max="8450" width="6.25" style="3180" customWidth="1"/>
    <col min="8451" max="8451" width="11.75" style="3180" customWidth="1"/>
    <col min="8452" max="8452" width="6.25" style="3180" customWidth="1"/>
    <col min="8453" max="8453" width="14.375" style="3180" customWidth="1"/>
    <col min="8454" max="8455" width="13.875" style="3180" customWidth="1"/>
    <col min="8456" max="8456" width="6.25" style="3180" customWidth="1"/>
    <col min="8457" max="8457" width="13.5" style="3180" customWidth="1"/>
    <col min="8458" max="8458" width="7.875" style="3180" customWidth="1"/>
    <col min="8459" max="8459" width="88.25" style="3180" customWidth="1"/>
    <col min="8460" max="8460" width="10.625" style="3180" customWidth="1"/>
    <col min="8461" max="8461" width="16" style="3180" customWidth="1"/>
    <col min="8462" max="8462" width="14.375" style="3180" customWidth="1"/>
    <col min="8463" max="8704" width="9" style="3180"/>
    <col min="8705" max="8705" width="40" style="3180" customWidth="1"/>
    <col min="8706" max="8706" width="6.25" style="3180" customWidth="1"/>
    <col min="8707" max="8707" width="11.75" style="3180" customWidth="1"/>
    <col min="8708" max="8708" width="6.25" style="3180" customWidth="1"/>
    <col min="8709" max="8709" width="14.375" style="3180" customWidth="1"/>
    <col min="8710" max="8711" width="13.875" style="3180" customWidth="1"/>
    <col min="8712" max="8712" width="6.25" style="3180" customWidth="1"/>
    <col min="8713" max="8713" width="13.5" style="3180" customWidth="1"/>
    <col min="8714" max="8714" width="7.875" style="3180" customWidth="1"/>
    <col min="8715" max="8715" width="88.25" style="3180" customWidth="1"/>
    <col min="8716" max="8716" width="10.625" style="3180" customWidth="1"/>
    <col min="8717" max="8717" width="16" style="3180" customWidth="1"/>
    <col min="8718" max="8718" width="14.375" style="3180" customWidth="1"/>
    <col min="8719" max="8960" width="9" style="3180"/>
    <col min="8961" max="8961" width="40" style="3180" customWidth="1"/>
    <col min="8962" max="8962" width="6.25" style="3180" customWidth="1"/>
    <col min="8963" max="8963" width="11.75" style="3180" customWidth="1"/>
    <col min="8964" max="8964" width="6.25" style="3180" customWidth="1"/>
    <col min="8965" max="8965" width="14.375" style="3180" customWidth="1"/>
    <col min="8966" max="8967" width="13.875" style="3180" customWidth="1"/>
    <col min="8968" max="8968" width="6.25" style="3180" customWidth="1"/>
    <col min="8969" max="8969" width="13.5" style="3180" customWidth="1"/>
    <col min="8970" max="8970" width="7.875" style="3180" customWidth="1"/>
    <col min="8971" max="8971" width="88.25" style="3180" customWidth="1"/>
    <col min="8972" max="8972" width="10.625" style="3180" customWidth="1"/>
    <col min="8973" max="8973" width="16" style="3180" customWidth="1"/>
    <col min="8974" max="8974" width="14.375" style="3180" customWidth="1"/>
    <col min="8975" max="9216" width="9" style="3180"/>
    <col min="9217" max="9217" width="40" style="3180" customWidth="1"/>
    <col min="9218" max="9218" width="6.25" style="3180" customWidth="1"/>
    <col min="9219" max="9219" width="11.75" style="3180" customWidth="1"/>
    <col min="9220" max="9220" width="6.25" style="3180" customWidth="1"/>
    <col min="9221" max="9221" width="14.375" style="3180" customWidth="1"/>
    <col min="9222" max="9223" width="13.875" style="3180" customWidth="1"/>
    <col min="9224" max="9224" width="6.25" style="3180" customWidth="1"/>
    <col min="9225" max="9225" width="13.5" style="3180" customWidth="1"/>
    <col min="9226" max="9226" width="7.875" style="3180" customWidth="1"/>
    <col min="9227" max="9227" width="88.25" style="3180" customWidth="1"/>
    <col min="9228" max="9228" width="10.625" style="3180" customWidth="1"/>
    <col min="9229" max="9229" width="16" style="3180" customWidth="1"/>
    <col min="9230" max="9230" width="14.375" style="3180" customWidth="1"/>
    <col min="9231" max="9472" width="9" style="3180"/>
    <col min="9473" max="9473" width="40" style="3180" customWidth="1"/>
    <col min="9474" max="9474" width="6.25" style="3180" customWidth="1"/>
    <col min="9475" max="9475" width="11.75" style="3180" customWidth="1"/>
    <col min="9476" max="9476" width="6.25" style="3180" customWidth="1"/>
    <col min="9477" max="9477" width="14.375" style="3180" customWidth="1"/>
    <col min="9478" max="9479" width="13.875" style="3180" customWidth="1"/>
    <col min="9480" max="9480" width="6.25" style="3180" customWidth="1"/>
    <col min="9481" max="9481" width="13.5" style="3180" customWidth="1"/>
    <col min="9482" max="9482" width="7.875" style="3180" customWidth="1"/>
    <col min="9483" max="9483" width="88.25" style="3180" customWidth="1"/>
    <col min="9484" max="9484" width="10.625" style="3180" customWidth="1"/>
    <col min="9485" max="9485" width="16" style="3180" customWidth="1"/>
    <col min="9486" max="9486" width="14.375" style="3180" customWidth="1"/>
    <col min="9487" max="9728" width="9" style="3180"/>
    <col min="9729" max="9729" width="40" style="3180" customWidth="1"/>
    <col min="9730" max="9730" width="6.25" style="3180" customWidth="1"/>
    <col min="9731" max="9731" width="11.75" style="3180" customWidth="1"/>
    <col min="9732" max="9732" width="6.25" style="3180" customWidth="1"/>
    <col min="9733" max="9733" width="14.375" style="3180" customWidth="1"/>
    <col min="9734" max="9735" width="13.875" style="3180" customWidth="1"/>
    <col min="9736" max="9736" width="6.25" style="3180" customWidth="1"/>
    <col min="9737" max="9737" width="13.5" style="3180" customWidth="1"/>
    <col min="9738" max="9738" width="7.875" style="3180" customWidth="1"/>
    <col min="9739" max="9739" width="88.25" style="3180" customWidth="1"/>
    <col min="9740" max="9740" width="10.625" style="3180" customWidth="1"/>
    <col min="9741" max="9741" width="16" style="3180" customWidth="1"/>
    <col min="9742" max="9742" width="14.375" style="3180" customWidth="1"/>
    <col min="9743" max="9984" width="9" style="3180"/>
    <col min="9985" max="9985" width="40" style="3180" customWidth="1"/>
    <col min="9986" max="9986" width="6.25" style="3180" customWidth="1"/>
    <col min="9987" max="9987" width="11.75" style="3180" customWidth="1"/>
    <col min="9988" max="9988" width="6.25" style="3180" customWidth="1"/>
    <col min="9989" max="9989" width="14.375" style="3180" customWidth="1"/>
    <col min="9990" max="9991" width="13.875" style="3180" customWidth="1"/>
    <col min="9992" max="9992" width="6.25" style="3180" customWidth="1"/>
    <col min="9993" max="9993" width="13.5" style="3180" customWidth="1"/>
    <col min="9994" max="9994" width="7.875" style="3180" customWidth="1"/>
    <col min="9995" max="9995" width="88.25" style="3180" customWidth="1"/>
    <col min="9996" max="9996" width="10.625" style="3180" customWidth="1"/>
    <col min="9997" max="9997" width="16" style="3180" customWidth="1"/>
    <col min="9998" max="9998" width="14.375" style="3180" customWidth="1"/>
    <col min="9999" max="10240" width="9" style="3180"/>
    <col min="10241" max="10241" width="40" style="3180" customWidth="1"/>
    <col min="10242" max="10242" width="6.25" style="3180" customWidth="1"/>
    <col min="10243" max="10243" width="11.75" style="3180" customWidth="1"/>
    <col min="10244" max="10244" width="6.25" style="3180" customWidth="1"/>
    <col min="10245" max="10245" width="14.375" style="3180" customWidth="1"/>
    <col min="10246" max="10247" width="13.875" style="3180" customWidth="1"/>
    <col min="10248" max="10248" width="6.25" style="3180" customWidth="1"/>
    <col min="10249" max="10249" width="13.5" style="3180" customWidth="1"/>
    <col min="10250" max="10250" width="7.875" style="3180" customWidth="1"/>
    <col min="10251" max="10251" width="88.25" style="3180" customWidth="1"/>
    <col min="10252" max="10252" width="10.625" style="3180" customWidth="1"/>
    <col min="10253" max="10253" width="16" style="3180" customWidth="1"/>
    <col min="10254" max="10254" width="14.375" style="3180" customWidth="1"/>
    <col min="10255" max="10496" width="9" style="3180"/>
    <col min="10497" max="10497" width="40" style="3180" customWidth="1"/>
    <col min="10498" max="10498" width="6.25" style="3180" customWidth="1"/>
    <col min="10499" max="10499" width="11.75" style="3180" customWidth="1"/>
    <col min="10500" max="10500" width="6.25" style="3180" customWidth="1"/>
    <col min="10501" max="10501" width="14.375" style="3180" customWidth="1"/>
    <col min="10502" max="10503" width="13.875" style="3180" customWidth="1"/>
    <col min="10504" max="10504" width="6.25" style="3180" customWidth="1"/>
    <col min="10505" max="10505" width="13.5" style="3180" customWidth="1"/>
    <col min="10506" max="10506" width="7.875" style="3180" customWidth="1"/>
    <col min="10507" max="10507" width="88.25" style="3180" customWidth="1"/>
    <col min="10508" max="10508" width="10.625" style="3180" customWidth="1"/>
    <col min="10509" max="10509" width="16" style="3180" customWidth="1"/>
    <col min="10510" max="10510" width="14.375" style="3180" customWidth="1"/>
    <col min="10511" max="10752" width="9" style="3180"/>
    <col min="10753" max="10753" width="40" style="3180" customWidth="1"/>
    <col min="10754" max="10754" width="6.25" style="3180" customWidth="1"/>
    <col min="10755" max="10755" width="11.75" style="3180" customWidth="1"/>
    <col min="10756" max="10756" width="6.25" style="3180" customWidth="1"/>
    <col min="10757" max="10757" width="14.375" style="3180" customWidth="1"/>
    <col min="10758" max="10759" width="13.875" style="3180" customWidth="1"/>
    <col min="10760" max="10760" width="6.25" style="3180" customWidth="1"/>
    <col min="10761" max="10761" width="13.5" style="3180" customWidth="1"/>
    <col min="10762" max="10762" width="7.875" style="3180" customWidth="1"/>
    <col min="10763" max="10763" width="88.25" style="3180" customWidth="1"/>
    <col min="10764" max="10764" width="10.625" style="3180" customWidth="1"/>
    <col min="10765" max="10765" width="16" style="3180" customWidth="1"/>
    <col min="10766" max="10766" width="14.375" style="3180" customWidth="1"/>
    <col min="10767" max="11008" width="9" style="3180"/>
    <col min="11009" max="11009" width="40" style="3180" customWidth="1"/>
    <col min="11010" max="11010" width="6.25" style="3180" customWidth="1"/>
    <col min="11011" max="11011" width="11.75" style="3180" customWidth="1"/>
    <col min="11012" max="11012" width="6.25" style="3180" customWidth="1"/>
    <col min="11013" max="11013" width="14.375" style="3180" customWidth="1"/>
    <col min="11014" max="11015" width="13.875" style="3180" customWidth="1"/>
    <col min="11016" max="11016" width="6.25" style="3180" customWidth="1"/>
    <col min="11017" max="11017" width="13.5" style="3180" customWidth="1"/>
    <col min="11018" max="11018" width="7.875" style="3180" customWidth="1"/>
    <col min="11019" max="11019" width="88.25" style="3180" customWidth="1"/>
    <col min="11020" max="11020" width="10.625" style="3180" customWidth="1"/>
    <col min="11021" max="11021" width="16" style="3180" customWidth="1"/>
    <col min="11022" max="11022" width="14.375" style="3180" customWidth="1"/>
    <col min="11023" max="11264" width="9" style="3180"/>
    <col min="11265" max="11265" width="40" style="3180" customWidth="1"/>
    <col min="11266" max="11266" width="6.25" style="3180" customWidth="1"/>
    <col min="11267" max="11267" width="11.75" style="3180" customWidth="1"/>
    <col min="11268" max="11268" width="6.25" style="3180" customWidth="1"/>
    <col min="11269" max="11269" width="14.375" style="3180" customWidth="1"/>
    <col min="11270" max="11271" width="13.875" style="3180" customWidth="1"/>
    <col min="11272" max="11272" width="6.25" style="3180" customWidth="1"/>
    <col min="11273" max="11273" width="13.5" style="3180" customWidth="1"/>
    <col min="11274" max="11274" width="7.875" style="3180" customWidth="1"/>
    <col min="11275" max="11275" width="88.25" style="3180" customWidth="1"/>
    <col min="11276" max="11276" width="10.625" style="3180" customWidth="1"/>
    <col min="11277" max="11277" width="16" style="3180" customWidth="1"/>
    <col min="11278" max="11278" width="14.375" style="3180" customWidth="1"/>
    <col min="11279" max="11520" width="9" style="3180"/>
    <col min="11521" max="11521" width="40" style="3180" customWidth="1"/>
    <col min="11522" max="11522" width="6.25" style="3180" customWidth="1"/>
    <col min="11523" max="11523" width="11.75" style="3180" customWidth="1"/>
    <col min="11524" max="11524" width="6.25" style="3180" customWidth="1"/>
    <col min="11525" max="11525" width="14.375" style="3180" customWidth="1"/>
    <col min="11526" max="11527" width="13.875" style="3180" customWidth="1"/>
    <col min="11528" max="11528" width="6.25" style="3180" customWidth="1"/>
    <col min="11529" max="11529" width="13.5" style="3180" customWidth="1"/>
    <col min="11530" max="11530" width="7.875" style="3180" customWidth="1"/>
    <col min="11531" max="11531" width="88.25" style="3180" customWidth="1"/>
    <col min="11532" max="11532" width="10.625" style="3180" customWidth="1"/>
    <col min="11533" max="11533" width="16" style="3180" customWidth="1"/>
    <col min="11534" max="11534" width="14.375" style="3180" customWidth="1"/>
    <col min="11535" max="11776" width="9" style="3180"/>
    <col min="11777" max="11777" width="40" style="3180" customWidth="1"/>
    <col min="11778" max="11778" width="6.25" style="3180" customWidth="1"/>
    <col min="11779" max="11779" width="11.75" style="3180" customWidth="1"/>
    <col min="11780" max="11780" width="6.25" style="3180" customWidth="1"/>
    <col min="11781" max="11781" width="14.375" style="3180" customWidth="1"/>
    <col min="11782" max="11783" width="13.875" style="3180" customWidth="1"/>
    <col min="11784" max="11784" width="6.25" style="3180" customWidth="1"/>
    <col min="11785" max="11785" width="13.5" style="3180" customWidth="1"/>
    <col min="11786" max="11786" width="7.875" style="3180" customWidth="1"/>
    <col min="11787" max="11787" width="88.25" style="3180" customWidth="1"/>
    <col min="11788" max="11788" width="10.625" style="3180" customWidth="1"/>
    <col min="11789" max="11789" width="16" style="3180" customWidth="1"/>
    <col min="11790" max="11790" width="14.375" style="3180" customWidth="1"/>
    <col min="11791" max="12032" width="9" style="3180"/>
    <col min="12033" max="12033" width="40" style="3180" customWidth="1"/>
    <col min="12034" max="12034" width="6.25" style="3180" customWidth="1"/>
    <col min="12035" max="12035" width="11.75" style="3180" customWidth="1"/>
    <col min="12036" max="12036" width="6.25" style="3180" customWidth="1"/>
    <col min="12037" max="12037" width="14.375" style="3180" customWidth="1"/>
    <col min="12038" max="12039" width="13.875" style="3180" customWidth="1"/>
    <col min="12040" max="12040" width="6.25" style="3180" customWidth="1"/>
    <col min="12041" max="12041" width="13.5" style="3180" customWidth="1"/>
    <col min="12042" max="12042" width="7.875" style="3180" customWidth="1"/>
    <col min="12043" max="12043" width="88.25" style="3180" customWidth="1"/>
    <col min="12044" max="12044" width="10.625" style="3180" customWidth="1"/>
    <col min="12045" max="12045" width="16" style="3180" customWidth="1"/>
    <col min="12046" max="12046" width="14.375" style="3180" customWidth="1"/>
    <col min="12047" max="12288" width="9" style="3180"/>
    <col min="12289" max="12289" width="40" style="3180" customWidth="1"/>
    <col min="12290" max="12290" width="6.25" style="3180" customWidth="1"/>
    <col min="12291" max="12291" width="11.75" style="3180" customWidth="1"/>
    <col min="12292" max="12292" width="6.25" style="3180" customWidth="1"/>
    <col min="12293" max="12293" width="14.375" style="3180" customWidth="1"/>
    <col min="12294" max="12295" width="13.875" style="3180" customWidth="1"/>
    <col min="12296" max="12296" width="6.25" style="3180" customWidth="1"/>
    <col min="12297" max="12297" width="13.5" style="3180" customWidth="1"/>
    <col min="12298" max="12298" width="7.875" style="3180" customWidth="1"/>
    <col min="12299" max="12299" width="88.25" style="3180" customWidth="1"/>
    <col min="12300" max="12300" width="10.625" style="3180" customWidth="1"/>
    <col min="12301" max="12301" width="16" style="3180" customWidth="1"/>
    <col min="12302" max="12302" width="14.375" style="3180" customWidth="1"/>
    <col min="12303" max="12544" width="9" style="3180"/>
    <col min="12545" max="12545" width="40" style="3180" customWidth="1"/>
    <col min="12546" max="12546" width="6.25" style="3180" customWidth="1"/>
    <col min="12547" max="12547" width="11.75" style="3180" customWidth="1"/>
    <col min="12548" max="12548" width="6.25" style="3180" customWidth="1"/>
    <col min="12549" max="12549" width="14.375" style="3180" customWidth="1"/>
    <col min="12550" max="12551" width="13.875" style="3180" customWidth="1"/>
    <col min="12552" max="12552" width="6.25" style="3180" customWidth="1"/>
    <col min="12553" max="12553" width="13.5" style="3180" customWidth="1"/>
    <col min="12554" max="12554" width="7.875" style="3180" customWidth="1"/>
    <col min="12555" max="12555" width="88.25" style="3180" customWidth="1"/>
    <col min="12556" max="12556" width="10.625" style="3180" customWidth="1"/>
    <col min="12557" max="12557" width="16" style="3180" customWidth="1"/>
    <col min="12558" max="12558" width="14.375" style="3180" customWidth="1"/>
    <col min="12559" max="12800" width="9" style="3180"/>
    <col min="12801" max="12801" width="40" style="3180" customWidth="1"/>
    <col min="12802" max="12802" width="6.25" style="3180" customWidth="1"/>
    <col min="12803" max="12803" width="11.75" style="3180" customWidth="1"/>
    <col min="12804" max="12804" width="6.25" style="3180" customWidth="1"/>
    <col min="12805" max="12805" width="14.375" style="3180" customWidth="1"/>
    <col min="12806" max="12807" width="13.875" style="3180" customWidth="1"/>
    <col min="12808" max="12808" width="6.25" style="3180" customWidth="1"/>
    <col min="12809" max="12809" width="13.5" style="3180" customWidth="1"/>
    <col min="12810" max="12810" width="7.875" style="3180" customWidth="1"/>
    <col min="12811" max="12811" width="88.25" style="3180" customWidth="1"/>
    <col min="12812" max="12812" width="10.625" style="3180" customWidth="1"/>
    <col min="12813" max="12813" width="16" style="3180" customWidth="1"/>
    <col min="12814" max="12814" width="14.375" style="3180" customWidth="1"/>
    <col min="12815" max="13056" width="9" style="3180"/>
    <col min="13057" max="13057" width="40" style="3180" customWidth="1"/>
    <col min="13058" max="13058" width="6.25" style="3180" customWidth="1"/>
    <col min="13059" max="13059" width="11.75" style="3180" customWidth="1"/>
    <col min="13060" max="13060" width="6.25" style="3180" customWidth="1"/>
    <col min="13061" max="13061" width="14.375" style="3180" customWidth="1"/>
    <col min="13062" max="13063" width="13.875" style="3180" customWidth="1"/>
    <col min="13064" max="13064" width="6.25" style="3180" customWidth="1"/>
    <col min="13065" max="13065" width="13.5" style="3180" customWidth="1"/>
    <col min="13066" max="13066" width="7.875" style="3180" customWidth="1"/>
    <col min="13067" max="13067" width="88.25" style="3180" customWidth="1"/>
    <col min="13068" max="13068" width="10.625" style="3180" customWidth="1"/>
    <col min="13069" max="13069" width="16" style="3180" customWidth="1"/>
    <col min="13070" max="13070" width="14.375" style="3180" customWidth="1"/>
    <col min="13071" max="13312" width="9" style="3180"/>
    <col min="13313" max="13313" width="40" style="3180" customWidth="1"/>
    <col min="13314" max="13314" width="6.25" style="3180" customWidth="1"/>
    <col min="13315" max="13315" width="11.75" style="3180" customWidth="1"/>
    <col min="13316" max="13316" width="6.25" style="3180" customWidth="1"/>
    <col min="13317" max="13317" width="14.375" style="3180" customWidth="1"/>
    <col min="13318" max="13319" width="13.875" style="3180" customWidth="1"/>
    <col min="13320" max="13320" width="6.25" style="3180" customWidth="1"/>
    <col min="13321" max="13321" width="13.5" style="3180" customWidth="1"/>
    <col min="13322" max="13322" width="7.875" style="3180" customWidth="1"/>
    <col min="13323" max="13323" width="88.25" style="3180" customWidth="1"/>
    <col min="13324" max="13324" width="10.625" style="3180" customWidth="1"/>
    <col min="13325" max="13325" width="16" style="3180" customWidth="1"/>
    <col min="13326" max="13326" width="14.375" style="3180" customWidth="1"/>
    <col min="13327" max="13568" width="9" style="3180"/>
    <col min="13569" max="13569" width="40" style="3180" customWidth="1"/>
    <col min="13570" max="13570" width="6.25" style="3180" customWidth="1"/>
    <col min="13571" max="13571" width="11.75" style="3180" customWidth="1"/>
    <col min="13572" max="13572" width="6.25" style="3180" customWidth="1"/>
    <col min="13573" max="13573" width="14.375" style="3180" customWidth="1"/>
    <col min="13574" max="13575" width="13.875" style="3180" customWidth="1"/>
    <col min="13576" max="13576" width="6.25" style="3180" customWidth="1"/>
    <col min="13577" max="13577" width="13.5" style="3180" customWidth="1"/>
    <col min="13578" max="13578" width="7.875" style="3180" customWidth="1"/>
    <col min="13579" max="13579" width="88.25" style="3180" customWidth="1"/>
    <col min="13580" max="13580" width="10.625" style="3180" customWidth="1"/>
    <col min="13581" max="13581" width="16" style="3180" customWidth="1"/>
    <col min="13582" max="13582" width="14.375" style="3180" customWidth="1"/>
    <col min="13583" max="13824" width="9" style="3180"/>
    <col min="13825" max="13825" width="40" style="3180" customWidth="1"/>
    <col min="13826" max="13826" width="6.25" style="3180" customWidth="1"/>
    <col min="13827" max="13827" width="11.75" style="3180" customWidth="1"/>
    <col min="13828" max="13828" width="6.25" style="3180" customWidth="1"/>
    <col min="13829" max="13829" width="14.375" style="3180" customWidth="1"/>
    <col min="13830" max="13831" width="13.875" style="3180" customWidth="1"/>
    <col min="13832" max="13832" width="6.25" style="3180" customWidth="1"/>
    <col min="13833" max="13833" width="13.5" style="3180" customWidth="1"/>
    <col min="13834" max="13834" width="7.875" style="3180" customWidth="1"/>
    <col min="13835" max="13835" width="88.25" style="3180" customWidth="1"/>
    <col min="13836" max="13836" width="10.625" style="3180" customWidth="1"/>
    <col min="13837" max="13837" width="16" style="3180" customWidth="1"/>
    <col min="13838" max="13838" width="14.375" style="3180" customWidth="1"/>
    <col min="13839" max="14080" width="9" style="3180"/>
    <col min="14081" max="14081" width="40" style="3180" customWidth="1"/>
    <col min="14082" max="14082" width="6.25" style="3180" customWidth="1"/>
    <col min="14083" max="14083" width="11.75" style="3180" customWidth="1"/>
    <col min="14084" max="14084" width="6.25" style="3180" customWidth="1"/>
    <col min="14085" max="14085" width="14.375" style="3180" customWidth="1"/>
    <col min="14086" max="14087" width="13.875" style="3180" customWidth="1"/>
    <col min="14088" max="14088" width="6.25" style="3180" customWidth="1"/>
    <col min="14089" max="14089" width="13.5" style="3180" customWidth="1"/>
    <col min="14090" max="14090" width="7.875" style="3180" customWidth="1"/>
    <col min="14091" max="14091" width="88.25" style="3180" customWidth="1"/>
    <col min="14092" max="14092" width="10.625" style="3180" customWidth="1"/>
    <col min="14093" max="14093" width="16" style="3180" customWidth="1"/>
    <col min="14094" max="14094" width="14.375" style="3180" customWidth="1"/>
    <col min="14095" max="14336" width="9" style="3180"/>
    <col min="14337" max="14337" width="40" style="3180" customWidth="1"/>
    <col min="14338" max="14338" width="6.25" style="3180" customWidth="1"/>
    <col min="14339" max="14339" width="11.75" style="3180" customWidth="1"/>
    <col min="14340" max="14340" width="6.25" style="3180" customWidth="1"/>
    <col min="14341" max="14341" width="14.375" style="3180" customWidth="1"/>
    <col min="14342" max="14343" width="13.875" style="3180" customWidth="1"/>
    <col min="14344" max="14344" width="6.25" style="3180" customWidth="1"/>
    <col min="14345" max="14345" width="13.5" style="3180" customWidth="1"/>
    <col min="14346" max="14346" width="7.875" style="3180" customWidth="1"/>
    <col min="14347" max="14347" width="88.25" style="3180" customWidth="1"/>
    <col min="14348" max="14348" width="10.625" style="3180" customWidth="1"/>
    <col min="14349" max="14349" width="16" style="3180" customWidth="1"/>
    <col min="14350" max="14350" width="14.375" style="3180" customWidth="1"/>
    <col min="14351" max="14592" width="9" style="3180"/>
    <col min="14593" max="14593" width="40" style="3180" customWidth="1"/>
    <col min="14594" max="14594" width="6.25" style="3180" customWidth="1"/>
    <col min="14595" max="14595" width="11.75" style="3180" customWidth="1"/>
    <col min="14596" max="14596" width="6.25" style="3180" customWidth="1"/>
    <col min="14597" max="14597" width="14.375" style="3180" customWidth="1"/>
    <col min="14598" max="14599" width="13.875" style="3180" customWidth="1"/>
    <col min="14600" max="14600" width="6.25" style="3180" customWidth="1"/>
    <col min="14601" max="14601" width="13.5" style="3180" customWidth="1"/>
    <col min="14602" max="14602" width="7.875" style="3180" customWidth="1"/>
    <col min="14603" max="14603" width="88.25" style="3180" customWidth="1"/>
    <col min="14604" max="14604" width="10.625" style="3180" customWidth="1"/>
    <col min="14605" max="14605" width="16" style="3180" customWidth="1"/>
    <col min="14606" max="14606" width="14.375" style="3180" customWidth="1"/>
    <col min="14607" max="14848" width="9" style="3180"/>
    <col min="14849" max="14849" width="40" style="3180" customWidth="1"/>
    <col min="14850" max="14850" width="6.25" style="3180" customWidth="1"/>
    <col min="14851" max="14851" width="11.75" style="3180" customWidth="1"/>
    <col min="14852" max="14852" width="6.25" style="3180" customWidth="1"/>
    <col min="14853" max="14853" width="14.375" style="3180" customWidth="1"/>
    <col min="14854" max="14855" width="13.875" style="3180" customWidth="1"/>
    <col min="14856" max="14856" width="6.25" style="3180" customWidth="1"/>
    <col min="14857" max="14857" width="13.5" style="3180" customWidth="1"/>
    <col min="14858" max="14858" width="7.875" style="3180" customWidth="1"/>
    <col min="14859" max="14859" width="88.25" style="3180" customWidth="1"/>
    <col min="14860" max="14860" width="10.625" style="3180" customWidth="1"/>
    <col min="14861" max="14861" width="16" style="3180" customWidth="1"/>
    <col min="14862" max="14862" width="14.375" style="3180" customWidth="1"/>
    <col min="14863" max="15104" width="9" style="3180"/>
    <col min="15105" max="15105" width="40" style="3180" customWidth="1"/>
    <col min="15106" max="15106" width="6.25" style="3180" customWidth="1"/>
    <col min="15107" max="15107" width="11.75" style="3180" customWidth="1"/>
    <col min="15108" max="15108" width="6.25" style="3180" customWidth="1"/>
    <col min="15109" max="15109" width="14.375" style="3180" customWidth="1"/>
    <col min="15110" max="15111" width="13.875" style="3180" customWidth="1"/>
    <col min="15112" max="15112" width="6.25" style="3180" customWidth="1"/>
    <col min="15113" max="15113" width="13.5" style="3180" customWidth="1"/>
    <col min="15114" max="15114" width="7.875" style="3180" customWidth="1"/>
    <col min="15115" max="15115" width="88.25" style="3180" customWidth="1"/>
    <col min="15116" max="15116" width="10.625" style="3180" customWidth="1"/>
    <col min="15117" max="15117" width="16" style="3180" customWidth="1"/>
    <col min="15118" max="15118" width="14.375" style="3180" customWidth="1"/>
    <col min="15119" max="15360" width="9" style="3180"/>
    <col min="15361" max="15361" width="40" style="3180" customWidth="1"/>
    <col min="15362" max="15362" width="6.25" style="3180" customWidth="1"/>
    <col min="15363" max="15363" width="11.75" style="3180" customWidth="1"/>
    <col min="15364" max="15364" width="6.25" style="3180" customWidth="1"/>
    <col min="15365" max="15365" width="14.375" style="3180" customWidth="1"/>
    <col min="15366" max="15367" width="13.875" style="3180" customWidth="1"/>
    <col min="15368" max="15368" width="6.25" style="3180" customWidth="1"/>
    <col min="15369" max="15369" width="13.5" style="3180" customWidth="1"/>
    <col min="15370" max="15370" width="7.875" style="3180" customWidth="1"/>
    <col min="15371" max="15371" width="88.25" style="3180" customWidth="1"/>
    <col min="15372" max="15372" width="10.625" style="3180" customWidth="1"/>
    <col min="15373" max="15373" width="16" style="3180" customWidth="1"/>
    <col min="15374" max="15374" width="14.375" style="3180" customWidth="1"/>
    <col min="15375" max="15616" width="9" style="3180"/>
    <col min="15617" max="15617" width="40" style="3180" customWidth="1"/>
    <col min="15618" max="15618" width="6.25" style="3180" customWidth="1"/>
    <col min="15619" max="15619" width="11.75" style="3180" customWidth="1"/>
    <col min="15620" max="15620" width="6.25" style="3180" customWidth="1"/>
    <col min="15621" max="15621" width="14.375" style="3180" customWidth="1"/>
    <col min="15622" max="15623" width="13.875" style="3180" customWidth="1"/>
    <col min="15624" max="15624" width="6.25" style="3180" customWidth="1"/>
    <col min="15625" max="15625" width="13.5" style="3180" customWidth="1"/>
    <col min="15626" max="15626" width="7.875" style="3180" customWidth="1"/>
    <col min="15627" max="15627" width="88.25" style="3180" customWidth="1"/>
    <col min="15628" max="15628" width="10.625" style="3180" customWidth="1"/>
    <col min="15629" max="15629" width="16" style="3180" customWidth="1"/>
    <col min="15630" max="15630" width="14.375" style="3180" customWidth="1"/>
    <col min="15631" max="15872" width="9" style="3180"/>
    <col min="15873" max="15873" width="40" style="3180" customWidth="1"/>
    <col min="15874" max="15874" width="6.25" style="3180" customWidth="1"/>
    <col min="15875" max="15875" width="11.75" style="3180" customWidth="1"/>
    <col min="15876" max="15876" width="6.25" style="3180" customWidth="1"/>
    <col min="15877" max="15877" width="14.375" style="3180" customWidth="1"/>
    <col min="15878" max="15879" width="13.875" style="3180" customWidth="1"/>
    <col min="15880" max="15880" width="6.25" style="3180" customWidth="1"/>
    <col min="15881" max="15881" width="13.5" style="3180" customWidth="1"/>
    <col min="15882" max="15882" width="7.875" style="3180" customWidth="1"/>
    <col min="15883" max="15883" width="88.25" style="3180" customWidth="1"/>
    <col min="15884" max="15884" width="10.625" style="3180" customWidth="1"/>
    <col min="15885" max="15885" width="16" style="3180" customWidth="1"/>
    <col min="15886" max="15886" width="14.375" style="3180" customWidth="1"/>
    <col min="15887" max="16128" width="9" style="3180"/>
    <col min="16129" max="16129" width="40" style="3180" customWidth="1"/>
    <col min="16130" max="16130" width="6.25" style="3180" customWidth="1"/>
    <col min="16131" max="16131" width="11.75" style="3180" customWidth="1"/>
    <col min="16132" max="16132" width="6.25" style="3180" customWidth="1"/>
    <col min="16133" max="16133" width="14.375" style="3180" customWidth="1"/>
    <col min="16134" max="16135" width="13.875" style="3180" customWidth="1"/>
    <col min="16136" max="16136" width="6.25" style="3180" customWidth="1"/>
    <col min="16137" max="16137" width="13.5" style="3180" customWidth="1"/>
    <col min="16138" max="16138" width="7.875" style="3180" customWidth="1"/>
    <col min="16139" max="16139" width="88.25" style="3180" customWidth="1"/>
    <col min="16140" max="16140" width="10.625" style="3180" customWidth="1"/>
    <col min="16141" max="16141" width="16" style="3180" customWidth="1"/>
    <col min="16142" max="16142" width="14.375" style="3180" customWidth="1"/>
    <col min="16143" max="16384" width="9" style="3180"/>
  </cols>
  <sheetData>
    <row r="1" spans="1:14">
      <c r="A1" s="3180" t="s">
        <v>3000</v>
      </c>
      <c r="B1" s="3180" t="s">
        <v>3001</v>
      </c>
      <c r="C1" s="3180" t="s">
        <v>3002</v>
      </c>
      <c r="D1" s="3180" t="s">
        <v>3003</v>
      </c>
      <c r="E1" s="3180" t="s">
        <v>3004</v>
      </c>
      <c r="F1" s="3180" t="s">
        <v>3005</v>
      </c>
      <c r="G1" s="3180" t="s">
        <v>3006</v>
      </c>
      <c r="H1" s="3180" t="s">
        <v>2033</v>
      </c>
      <c r="I1" s="3180" t="s">
        <v>3007</v>
      </c>
      <c r="J1" s="3180" t="s">
        <v>3008</v>
      </c>
      <c r="K1" s="3180" t="s">
        <v>3009</v>
      </c>
      <c r="L1" s="3180" t="s">
        <v>3010</v>
      </c>
      <c r="M1" s="3180" t="s">
        <v>3011</v>
      </c>
      <c r="N1" s="3180" t="s">
        <v>3012</v>
      </c>
    </row>
    <row r="2" spans="1:14" hidden="1">
      <c r="A2" s="3180" t="s">
        <v>3013</v>
      </c>
      <c r="B2" s="3180" t="s">
        <v>1946</v>
      </c>
      <c r="C2" s="3180" t="s">
        <v>3014</v>
      </c>
      <c r="D2" s="3180" t="s">
        <v>3015</v>
      </c>
      <c r="E2" s="3180" t="s">
        <v>3016</v>
      </c>
      <c r="F2" s="3180">
        <v>2070793</v>
      </c>
      <c r="G2" s="3180">
        <v>1642730</v>
      </c>
      <c r="H2" s="3180">
        <v>0.79</v>
      </c>
      <c r="I2" s="3180" t="s">
        <v>3017</v>
      </c>
      <c r="J2" s="3180" t="s">
        <v>3018</v>
      </c>
      <c r="K2" s="3180" t="s">
        <v>3019</v>
      </c>
      <c r="L2" s="3180">
        <v>870000</v>
      </c>
      <c r="M2" s="3180">
        <v>4201.28</v>
      </c>
      <c r="N2" s="3180">
        <v>5296.06</v>
      </c>
    </row>
    <row r="3" spans="1:14" hidden="1">
      <c r="A3" s="3180" t="s">
        <v>3020</v>
      </c>
      <c r="B3" s="3180" t="s">
        <v>1946</v>
      </c>
      <c r="C3" s="3180" t="s">
        <v>3014</v>
      </c>
      <c r="D3" s="3180" t="s">
        <v>3015</v>
      </c>
      <c r="E3" s="3180" t="s">
        <v>3021</v>
      </c>
      <c r="F3" s="3180">
        <v>65873.39</v>
      </c>
      <c r="G3" s="3180">
        <v>164683</v>
      </c>
      <c r="H3" s="3180">
        <v>2.5</v>
      </c>
      <c r="I3" s="3180" t="s">
        <v>3022</v>
      </c>
      <c r="J3" s="3180" t="s">
        <v>3018</v>
      </c>
      <c r="K3" s="3180" t="s">
        <v>3023</v>
      </c>
      <c r="L3" s="3180">
        <v>108000</v>
      </c>
      <c r="M3" s="3180">
        <v>16395.080000000002</v>
      </c>
      <c r="N3" s="3180">
        <v>6558.05</v>
      </c>
    </row>
    <row r="4" spans="1:14" hidden="1">
      <c r="A4" s="3180" t="s">
        <v>3024</v>
      </c>
      <c r="B4" s="3180" t="s">
        <v>1946</v>
      </c>
      <c r="C4" s="3180" t="s">
        <v>3014</v>
      </c>
      <c r="D4" s="3180" t="s">
        <v>3015</v>
      </c>
      <c r="E4" s="3180" t="s">
        <v>3025</v>
      </c>
      <c r="F4" s="3180">
        <v>47100</v>
      </c>
      <c r="G4" s="3180">
        <v>450000</v>
      </c>
      <c r="H4" s="3180">
        <v>9.5500000000000007</v>
      </c>
      <c r="I4" s="3180" t="s">
        <v>3026</v>
      </c>
      <c r="J4" s="3180" t="s">
        <v>3018</v>
      </c>
      <c r="K4" s="3180" t="s">
        <v>3027</v>
      </c>
      <c r="L4" s="3180">
        <v>503990</v>
      </c>
      <c r="M4" s="3180">
        <v>107004.25</v>
      </c>
      <c r="N4" s="3180">
        <v>11199.78</v>
      </c>
    </row>
    <row r="5" spans="1:14" hidden="1">
      <c r="A5" s="3180" t="s">
        <v>3028</v>
      </c>
      <c r="B5" s="3180" t="s">
        <v>1946</v>
      </c>
      <c r="C5" s="3180" t="s">
        <v>3014</v>
      </c>
      <c r="D5" s="3180" t="s">
        <v>3015</v>
      </c>
      <c r="E5" s="3180" t="s">
        <v>3029</v>
      </c>
      <c r="F5" s="3180">
        <v>37656</v>
      </c>
      <c r="G5" s="3180">
        <v>131600</v>
      </c>
      <c r="H5" s="3180">
        <v>3.49</v>
      </c>
      <c r="I5" s="3180" t="s">
        <v>3030</v>
      </c>
      <c r="J5" s="3180" t="s">
        <v>3018</v>
      </c>
      <c r="K5" s="3180" t="s">
        <v>3031</v>
      </c>
      <c r="L5" s="3180">
        <v>151603.20000000001</v>
      </c>
      <c r="M5" s="3180">
        <v>40260.04</v>
      </c>
      <c r="N5" s="3180">
        <v>11520</v>
      </c>
    </row>
    <row r="6" spans="1:14" hidden="1">
      <c r="A6" s="3180" t="s">
        <v>3032</v>
      </c>
      <c r="B6" s="3180" t="s">
        <v>1946</v>
      </c>
      <c r="C6" s="3180" t="s">
        <v>3014</v>
      </c>
      <c r="D6" s="3180" t="s">
        <v>3015</v>
      </c>
      <c r="E6" s="3180" t="s">
        <v>3029</v>
      </c>
      <c r="F6" s="3180">
        <v>14124.26</v>
      </c>
      <c r="G6" s="3180">
        <v>119961</v>
      </c>
      <c r="H6" s="3180">
        <v>8.49</v>
      </c>
      <c r="I6" s="3180" t="s">
        <v>3030</v>
      </c>
      <c r="J6" s="3180" t="s">
        <v>3018</v>
      </c>
      <c r="K6" s="3180" t="s">
        <v>3033</v>
      </c>
      <c r="L6" s="3180">
        <v>135700</v>
      </c>
      <c r="M6" s="3180">
        <v>96075.83</v>
      </c>
      <c r="N6" s="3180">
        <v>11312.01</v>
      </c>
    </row>
    <row r="7" spans="1:14" hidden="1">
      <c r="A7" s="3180" t="s">
        <v>3034</v>
      </c>
      <c r="B7" s="3180" t="s">
        <v>1946</v>
      </c>
      <c r="C7" s="3180" t="s">
        <v>3014</v>
      </c>
      <c r="D7" s="3180" t="s">
        <v>3015</v>
      </c>
      <c r="E7" s="3180" t="s">
        <v>3029</v>
      </c>
      <c r="F7" s="3180">
        <v>39645</v>
      </c>
      <c r="G7" s="3180">
        <v>189500</v>
      </c>
      <c r="H7" s="3180">
        <v>4.78</v>
      </c>
      <c r="I7" s="3180" t="s">
        <v>3030</v>
      </c>
      <c r="J7" s="3180" t="s">
        <v>3018</v>
      </c>
      <c r="K7" s="3180" t="s">
        <v>3035</v>
      </c>
      <c r="L7" s="3180">
        <v>218304</v>
      </c>
      <c r="M7" s="3180">
        <v>55064.69</v>
      </c>
      <c r="N7" s="3180">
        <v>11520</v>
      </c>
    </row>
    <row r="8" spans="1:14" hidden="1">
      <c r="A8" s="3180" t="s">
        <v>3036</v>
      </c>
      <c r="B8" s="3180" t="s">
        <v>1946</v>
      </c>
      <c r="C8" s="3180" t="s">
        <v>3014</v>
      </c>
      <c r="D8" s="3180" t="s">
        <v>3015</v>
      </c>
      <c r="E8" s="3180" t="s">
        <v>3029</v>
      </c>
      <c r="F8" s="3180">
        <v>9200</v>
      </c>
      <c r="G8" s="3180">
        <v>78139</v>
      </c>
      <c r="H8" s="3180">
        <v>8.49</v>
      </c>
      <c r="I8" s="3180" t="s">
        <v>3030</v>
      </c>
      <c r="J8" s="3180" t="s">
        <v>3018</v>
      </c>
      <c r="K8" s="3180" t="s">
        <v>3033</v>
      </c>
      <c r="L8" s="3180">
        <v>88400</v>
      </c>
      <c r="M8" s="3180">
        <v>96086.94</v>
      </c>
      <c r="N8" s="3180">
        <v>11313.17</v>
      </c>
    </row>
    <row r="9" spans="1:14" hidden="1">
      <c r="A9" s="3180" t="s">
        <v>3037</v>
      </c>
      <c r="B9" s="3180" t="s">
        <v>1946</v>
      </c>
      <c r="C9" s="3180" t="s">
        <v>3014</v>
      </c>
      <c r="D9" s="3180" t="s">
        <v>3015</v>
      </c>
      <c r="E9" s="3180" t="s">
        <v>3029</v>
      </c>
      <c r="F9" s="3180">
        <v>14088</v>
      </c>
      <c r="G9" s="3180">
        <v>90600</v>
      </c>
      <c r="H9" s="3180">
        <v>6.43</v>
      </c>
      <c r="I9" s="3180" t="s">
        <v>3038</v>
      </c>
      <c r="J9" s="3180" t="s">
        <v>3018</v>
      </c>
      <c r="K9" s="3180" t="s">
        <v>3033</v>
      </c>
      <c r="L9" s="3180">
        <v>105100</v>
      </c>
      <c r="M9" s="3180">
        <v>74602.5</v>
      </c>
      <c r="N9" s="3180">
        <v>11600.44</v>
      </c>
    </row>
    <row r="10" spans="1:14" hidden="1">
      <c r="A10" s="3180" t="s">
        <v>3039</v>
      </c>
      <c r="B10" s="3180" t="s">
        <v>1946</v>
      </c>
      <c r="C10" s="3180" t="s">
        <v>3014</v>
      </c>
      <c r="D10" s="3180" t="s">
        <v>3015</v>
      </c>
      <c r="E10" s="3180" t="s">
        <v>3029</v>
      </c>
      <c r="F10" s="3180">
        <v>9293</v>
      </c>
      <c r="G10" s="3180">
        <v>55800</v>
      </c>
      <c r="H10" s="3180">
        <v>6</v>
      </c>
      <c r="I10" s="3180" t="s">
        <v>3038</v>
      </c>
      <c r="J10" s="3180" t="s">
        <v>3018</v>
      </c>
      <c r="K10" s="3180" t="s">
        <v>3033</v>
      </c>
      <c r="L10" s="3180">
        <v>64700</v>
      </c>
      <c r="M10" s="3180">
        <v>69622.3</v>
      </c>
      <c r="N10" s="3180">
        <v>11594.97</v>
      </c>
    </row>
    <row r="11" spans="1:14">
      <c r="A11" s="3180" t="s">
        <v>3040</v>
      </c>
      <c r="B11" s="3180" t="s">
        <v>1946</v>
      </c>
      <c r="C11" s="3180" t="s">
        <v>3014</v>
      </c>
      <c r="D11" s="3180" t="s">
        <v>3015</v>
      </c>
      <c r="E11" s="3180" t="s">
        <v>3029</v>
      </c>
      <c r="F11" s="3180">
        <v>17815</v>
      </c>
      <c r="G11" s="3180">
        <v>133500</v>
      </c>
      <c r="H11" s="3180">
        <v>7.49</v>
      </c>
      <c r="I11" s="3180" t="s">
        <v>3041</v>
      </c>
      <c r="J11" s="3180" t="s">
        <v>3018</v>
      </c>
      <c r="K11" s="3180" t="s">
        <v>3042</v>
      </c>
      <c r="L11" s="3180">
        <v>178500</v>
      </c>
      <c r="M11" s="3180">
        <v>100196.46</v>
      </c>
      <c r="N11" s="3180">
        <v>13370.79</v>
      </c>
    </row>
    <row r="12" spans="1:14" hidden="1">
      <c r="A12" s="3180" t="s">
        <v>3043</v>
      </c>
      <c r="B12" s="3180" t="s">
        <v>1946</v>
      </c>
      <c r="C12" s="3180" t="s">
        <v>3014</v>
      </c>
      <c r="D12" s="3180" t="s">
        <v>3015</v>
      </c>
      <c r="E12" s="3180" t="s">
        <v>3029</v>
      </c>
      <c r="F12" s="3180">
        <v>8949</v>
      </c>
      <c r="G12" s="3180">
        <v>89000</v>
      </c>
      <c r="H12" s="3180">
        <v>9.9499999999999993</v>
      </c>
      <c r="I12" s="3180" t="s">
        <v>3041</v>
      </c>
      <c r="J12" s="3180" t="s">
        <v>3018</v>
      </c>
      <c r="K12" s="3180" t="s">
        <v>3042</v>
      </c>
      <c r="L12" s="3180">
        <v>107000</v>
      </c>
      <c r="M12" s="3180">
        <v>119566.42</v>
      </c>
      <c r="N12" s="3180">
        <v>12022.46</v>
      </c>
    </row>
    <row r="13" spans="1:14" hidden="1">
      <c r="A13" s="3180" t="s">
        <v>3044</v>
      </c>
      <c r="B13" s="3180" t="s">
        <v>1946</v>
      </c>
      <c r="C13" s="3180" t="s">
        <v>3014</v>
      </c>
      <c r="D13" s="3180" t="s">
        <v>3015</v>
      </c>
      <c r="E13" s="3180" t="s">
        <v>3029</v>
      </c>
      <c r="F13" s="3180">
        <v>17771</v>
      </c>
      <c r="G13" s="3180">
        <v>124600</v>
      </c>
      <c r="H13" s="3180">
        <v>7.01</v>
      </c>
      <c r="I13" s="3180" t="s">
        <v>3045</v>
      </c>
      <c r="J13" s="3180" t="s">
        <v>3018</v>
      </c>
      <c r="K13" s="3180" t="s">
        <v>3046</v>
      </c>
      <c r="L13" s="3180">
        <v>142900</v>
      </c>
      <c r="M13" s="3180">
        <v>80411.91</v>
      </c>
      <c r="N13" s="3180">
        <v>11468.7</v>
      </c>
    </row>
    <row r="14" spans="1:14">
      <c r="A14" s="3180" t="s">
        <v>3047</v>
      </c>
      <c r="B14" s="3180" t="s">
        <v>1946</v>
      </c>
      <c r="C14" s="3180" t="s">
        <v>3014</v>
      </c>
      <c r="D14" s="3180" t="s">
        <v>3015</v>
      </c>
      <c r="E14" s="3180" t="s">
        <v>3029</v>
      </c>
      <c r="F14" s="3180">
        <v>17064</v>
      </c>
      <c r="G14" s="3180">
        <v>128300</v>
      </c>
      <c r="H14" s="3180">
        <v>7.52</v>
      </c>
      <c r="I14" s="3180" t="s">
        <v>3045</v>
      </c>
      <c r="J14" s="3180" t="s">
        <v>3018</v>
      </c>
      <c r="K14" s="3180" t="s">
        <v>3048</v>
      </c>
      <c r="L14" s="3180">
        <v>167000</v>
      </c>
      <c r="M14" s="3180">
        <v>97866.85</v>
      </c>
      <c r="N14" s="3180">
        <v>13016.37</v>
      </c>
    </row>
    <row r="15" spans="1:14" hidden="1">
      <c r="A15" s="3180" t="s">
        <v>3049</v>
      </c>
      <c r="B15" s="3180" t="s">
        <v>1946</v>
      </c>
      <c r="C15" s="3180" t="s">
        <v>3014</v>
      </c>
      <c r="D15" s="3180" t="s">
        <v>3015</v>
      </c>
      <c r="E15" s="3180" t="s">
        <v>3050</v>
      </c>
      <c r="F15" s="3180">
        <v>1209458</v>
      </c>
      <c r="G15" s="3180">
        <v>798095</v>
      </c>
      <c r="H15" s="3180">
        <v>0.66</v>
      </c>
      <c r="I15" s="3180" t="s">
        <v>3051</v>
      </c>
      <c r="J15" s="3180" t="s">
        <v>3018</v>
      </c>
      <c r="K15" s="3180" t="s">
        <v>3019</v>
      </c>
      <c r="L15" s="3180">
        <v>193000</v>
      </c>
      <c r="M15" s="3180">
        <v>1595.75</v>
      </c>
      <c r="N15" s="3180">
        <v>2418.2600000000002</v>
      </c>
    </row>
    <row r="16" spans="1:14">
      <c r="A16" s="3180" t="s">
        <v>3052</v>
      </c>
      <c r="B16" s="3180" t="s">
        <v>1946</v>
      </c>
      <c r="C16" s="3180" t="s">
        <v>3014</v>
      </c>
      <c r="D16" s="3180" t="s">
        <v>3015</v>
      </c>
      <c r="E16" s="3180" t="s">
        <v>3029</v>
      </c>
      <c r="F16" s="3180">
        <v>17086</v>
      </c>
      <c r="G16" s="3180">
        <v>128300</v>
      </c>
      <c r="H16" s="3180">
        <v>7.51</v>
      </c>
      <c r="I16" s="3180" t="s">
        <v>3053</v>
      </c>
      <c r="J16" s="3180" t="s">
        <v>3018</v>
      </c>
      <c r="K16" s="3180" t="s">
        <v>3054</v>
      </c>
      <c r="L16" s="3180">
        <v>161658</v>
      </c>
      <c r="M16" s="3180">
        <v>94614.3</v>
      </c>
      <c r="N16" s="3180">
        <v>12600</v>
      </c>
    </row>
    <row r="17" spans="1:14" hidden="1">
      <c r="A17" s="3180" t="s">
        <v>3055</v>
      </c>
      <c r="B17" s="3180" t="s">
        <v>1946</v>
      </c>
      <c r="C17" s="3180" t="s">
        <v>3014</v>
      </c>
      <c r="D17" s="3180" t="s">
        <v>3015</v>
      </c>
      <c r="E17" s="3180" t="s">
        <v>3029</v>
      </c>
      <c r="F17" s="3180">
        <v>15520</v>
      </c>
      <c r="G17" s="3180">
        <v>62000</v>
      </c>
      <c r="H17" s="3180">
        <v>3.99</v>
      </c>
      <c r="I17" s="3180" t="s">
        <v>3056</v>
      </c>
      <c r="J17" s="3180" t="s">
        <v>3018</v>
      </c>
      <c r="K17" s="3180" t="s">
        <v>3057</v>
      </c>
      <c r="L17" s="3180">
        <v>80600</v>
      </c>
      <c r="M17" s="3180">
        <v>51932.98</v>
      </c>
      <c r="N17" s="3180">
        <v>13000</v>
      </c>
    </row>
    <row r="18" spans="1:14" hidden="1">
      <c r="A18" s="3180" t="s">
        <v>3058</v>
      </c>
      <c r="B18" s="3180" t="s">
        <v>1946</v>
      </c>
      <c r="C18" s="3180" t="s">
        <v>3014</v>
      </c>
      <c r="D18" s="3180" t="s">
        <v>3015</v>
      </c>
      <c r="E18" s="3180" t="s">
        <v>3029</v>
      </c>
      <c r="F18" s="3180">
        <v>22855</v>
      </c>
      <c r="G18" s="3180">
        <v>136800</v>
      </c>
      <c r="H18" s="3180">
        <v>5.99</v>
      </c>
      <c r="I18" s="3180" t="s">
        <v>3056</v>
      </c>
      <c r="J18" s="3180" t="s">
        <v>3018</v>
      </c>
      <c r="K18" s="3180" t="s">
        <v>3059</v>
      </c>
      <c r="L18" s="3180">
        <v>173777</v>
      </c>
      <c r="M18" s="3180">
        <v>76034.55</v>
      </c>
      <c r="N18" s="3180">
        <v>12703</v>
      </c>
    </row>
    <row r="19" spans="1:14" hidden="1">
      <c r="A19" s="3180" t="s">
        <v>3060</v>
      </c>
      <c r="B19" s="3180" t="s">
        <v>1946</v>
      </c>
      <c r="C19" s="3180" t="s">
        <v>3014</v>
      </c>
      <c r="D19" s="3180" t="s">
        <v>3015</v>
      </c>
      <c r="E19" s="3180" t="s">
        <v>3029</v>
      </c>
      <c r="F19" s="3180">
        <v>26591</v>
      </c>
      <c r="G19" s="3180">
        <v>186200</v>
      </c>
      <c r="H19" s="3180">
        <v>7</v>
      </c>
      <c r="I19" s="3180" t="s">
        <v>3061</v>
      </c>
      <c r="J19" s="3180" t="s">
        <v>3018</v>
      </c>
      <c r="K19" s="3180" t="s">
        <v>3059</v>
      </c>
      <c r="L19" s="3180">
        <v>232777</v>
      </c>
      <c r="M19" s="3180">
        <v>87539.76</v>
      </c>
      <c r="N19" s="3180">
        <v>12501.45</v>
      </c>
    </row>
    <row r="20" spans="1:14" hidden="1">
      <c r="A20" s="3180" t="s">
        <v>3062</v>
      </c>
      <c r="B20" s="3180" t="s">
        <v>1946</v>
      </c>
      <c r="C20" s="3180" t="s">
        <v>3014</v>
      </c>
      <c r="D20" s="3180" t="s">
        <v>3015</v>
      </c>
      <c r="E20" s="3180" t="s">
        <v>3029</v>
      </c>
      <c r="F20" s="3180">
        <v>20350</v>
      </c>
      <c r="G20" s="3180">
        <v>142800</v>
      </c>
      <c r="H20" s="3180">
        <v>7.02</v>
      </c>
      <c r="I20" s="3180" t="s">
        <v>3061</v>
      </c>
      <c r="J20" s="3180" t="s">
        <v>3018</v>
      </c>
      <c r="K20" s="3180" t="s">
        <v>3059</v>
      </c>
      <c r="L20" s="3180">
        <v>182777</v>
      </c>
      <c r="M20" s="3180">
        <v>89816.71</v>
      </c>
      <c r="N20" s="3180">
        <v>12799.51</v>
      </c>
    </row>
    <row r="21" spans="1:14" hidden="1">
      <c r="A21" s="3180" t="s">
        <v>3063</v>
      </c>
      <c r="B21" s="3180" t="s">
        <v>1946</v>
      </c>
      <c r="C21" s="3180" t="s">
        <v>3014</v>
      </c>
      <c r="D21" s="3180" t="s">
        <v>3015</v>
      </c>
      <c r="E21" s="3180" t="s">
        <v>3029</v>
      </c>
      <c r="F21" s="3180">
        <v>14958</v>
      </c>
      <c r="G21" s="3180">
        <v>60000</v>
      </c>
      <c r="H21" s="3180">
        <v>4.01</v>
      </c>
      <c r="I21" s="3180" t="s">
        <v>3061</v>
      </c>
      <c r="J21" s="3180" t="s">
        <v>3018</v>
      </c>
      <c r="K21" s="3180" t="s">
        <v>3064</v>
      </c>
      <c r="L21" s="3180">
        <v>78200</v>
      </c>
      <c r="M21" s="3180">
        <v>52279.71</v>
      </c>
      <c r="N21" s="3180">
        <v>13033.32</v>
      </c>
    </row>
    <row r="22" spans="1:14" hidden="1">
      <c r="A22" s="3180" t="s">
        <v>3065</v>
      </c>
      <c r="B22" s="3180" t="s">
        <v>1946</v>
      </c>
      <c r="C22" s="3180" t="s">
        <v>3014</v>
      </c>
      <c r="D22" s="3180" t="s">
        <v>3015</v>
      </c>
      <c r="E22" s="3180" t="s">
        <v>3029</v>
      </c>
      <c r="F22" s="3180">
        <v>19161</v>
      </c>
      <c r="G22" s="3180">
        <v>100100</v>
      </c>
      <c r="H22" s="3180">
        <v>5.22</v>
      </c>
      <c r="I22" s="3180" t="s">
        <v>3066</v>
      </c>
      <c r="J22" s="3180" t="s">
        <v>3018</v>
      </c>
      <c r="K22" s="3180" t="s">
        <v>3067</v>
      </c>
      <c r="L22" s="3180">
        <v>107107</v>
      </c>
      <c r="M22" s="3180">
        <v>55898.44</v>
      </c>
      <c r="N22" s="3180">
        <v>10700</v>
      </c>
    </row>
    <row r="23" spans="1:14" hidden="1">
      <c r="A23" s="3180" t="s">
        <v>3068</v>
      </c>
      <c r="B23" s="3180" t="s">
        <v>1946</v>
      </c>
      <c r="C23" s="3180" t="s">
        <v>3014</v>
      </c>
      <c r="D23" s="3180" t="s">
        <v>3015</v>
      </c>
      <c r="E23" s="3180" t="s">
        <v>3029</v>
      </c>
      <c r="F23" s="3180">
        <v>21537</v>
      </c>
      <c r="G23" s="3180">
        <v>107500</v>
      </c>
      <c r="H23" s="3180">
        <v>4.99</v>
      </c>
      <c r="I23" s="3180" t="s">
        <v>3066</v>
      </c>
      <c r="J23" s="3180" t="s">
        <v>3018</v>
      </c>
      <c r="K23" s="3180" t="s">
        <v>3069</v>
      </c>
      <c r="L23" s="3180">
        <v>115025</v>
      </c>
      <c r="M23" s="3180">
        <v>53408.08</v>
      </c>
      <c r="N23" s="3180">
        <v>10700</v>
      </c>
    </row>
    <row r="24" spans="1:14" hidden="1">
      <c r="A24" s="3180" t="s">
        <v>3070</v>
      </c>
      <c r="B24" s="3180" t="s">
        <v>1946</v>
      </c>
      <c r="C24" s="3180" t="s">
        <v>3014</v>
      </c>
      <c r="D24" s="3180" t="s">
        <v>3015</v>
      </c>
      <c r="E24" s="3180" t="s">
        <v>3029</v>
      </c>
      <c r="F24" s="3180">
        <v>20394</v>
      </c>
      <c r="G24" s="3180">
        <v>71800</v>
      </c>
      <c r="H24" s="3180">
        <v>3.52</v>
      </c>
      <c r="I24" s="3180" t="s">
        <v>3071</v>
      </c>
      <c r="J24" s="3180" t="s">
        <v>3018</v>
      </c>
      <c r="K24" s="3180" t="s">
        <v>3072</v>
      </c>
      <c r="L24" s="3180">
        <v>76826</v>
      </c>
      <c r="M24" s="3180">
        <v>37670.879999999997</v>
      </c>
      <c r="N24" s="3180">
        <v>10700</v>
      </c>
    </row>
    <row r="25" spans="1:14" hidden="1">
      <c r="A25" s="3180" t="s">
        <v>3073</v>
      </c>
      <c r="B25" s="3180" t="s">
        <v>1946</v>
      </c>
      <c r="C25" s="3180" t="s">
        <v>3014</v>
      </c>
      <c r="D25" s="3180" t="s">
        <v>3015</v>
      </c>
      <c r="E25" s="3180" t="s">
        <v>3029</v>
      </c>
      <c r="F25" s="3180">
        <v>7828</v>
      </c>
      <c r="G25" s="3180">
        <v>27300</v>
      </c>
      <c r="H25" s="3180">
        <v>3.49</v>
      </c>
      <c r="I25" s="3180" t="s">
        <v>3071</v>
      </c>
      <c r="J25" s="3180" t="s">
        <v>3018</v>
      </c>
      <c r="K25" s="3180" t="s">
        <v>3074</v>
      </c>
      <c r="L25" s="3180">
        <v>29211</v>
      </c>
      <c r="M25" s="3180">
        <v>37316.04</v>
      </c>
      <c r="N25" s="3180">
        <v>10700</v>
      </c>
    </row>
    <row r="26" spans="1:14" hidden="1">
      <c r="A26" s="3180" t="s">
        <v>3075</v>
      </c>
      <c r="B26" s="3180" t="s">
        <v>1946</v>
      </c>
      <c r="C26" s="3180" t="s">
        <v>3014</v>
      </c>
      <c r="D26" s="3180" t="s">
        <v>3015</v>
      </c>
      <c r="E26" s="3180" t="s">
        <v>3029</v>
      </c>
      <c r="F26" s="3180">
        <v>17757</v>
      </c>
      <c r="G26" s="3180">
        <v>88900</v>
      </c>
      <c r="H26" s="3180">
        <v>5.01</v>
      </c>
      <c r="I26" s="3180" t="s">
        <v>3071</v>
      </c>
      <c r="J26" s="3180" t="s">
        <v>3018</v>
      </c>
      <c r="K26" s="3180" t="s">
        <v>3076</v>
      </c>
      <c r="L26" s="3180">
        <v>95123</v>
      </c>
      <c r="M26" s="3180">
        <v>53569.29</v>
      </c>
      <c r="N26" s="3180">
        <v>10700</v>
      </c>
    </row>
    <row r="27" spans="1:14" hidden="1">
      <c r="A27" s="3180" t="s">
        <v>3077</v>
      </c>
      <c r="B27" s="3180" t="s">
        <v>1946</v>
      </c>
      <c r="C27" s="3180" t="s">
        <v>3014</v>
      </c>
      <c r="D27" s="3180" t="s">
        <v>3015</v>
      </c>
      <c r="E27" s="3180" t="s">
        <v>3078</v>
      </c>
      <c r="F27" s="3180">
        <v>34657</v>
      </c>
      <c r="G27" s="3180">
        <v>103971</v>
      </c>
      <c r="H27" s="3180">
        <v>3</v>
      </c>
      <c r="I27" s="3180" t="s">
        <v>3079</v>
      </c>
      <c r="J27" s="3180" t="s">
        <v>3018</v>
      </c>
      <c r="K27" s="3180" t="s">
        <v>3080</v>
      </c>
      <c r="L27" s="3180">
        <v>102000</v>
      </c>
      <c r="M27" s="3180">
        <v>29431.279999999999</v>
      </c>
      <c r="N27" s="3180">
        <v>9810.43</v>
      </c>
    </row>
    <row r="28" spans="1:14" hidden="1">
      <c r="A28" s="3180" t="s">
        <v>3081</v>
      </c>
      <c r="B28" s="3180" t="s">
        <v>1946</v>
      </c>
      <c r="C28" s="3180" t="s">
        <v>3014</v>
      </c>
      <c r="D28" s="3180" t="s">
        <v>3015</v>
      </c>
      <c r="E28" s="3180" t="s">
        <v>3082</v>
      </c>
      <c r="F28" s="3180">
        <v>99150</v>
      </c>
      <c r="G28" s="3180">
        <v>198300</v>
      </c>
      <c r="H28" s="3180">
        <v>2</v>
      </c>
      <c r="I28" s="3180" t="s">
        <v>3083</v>
      </c>
      <c r="J28" s="3180" t="s">
        <v>3018</v>
      </c>
      <c r="K28" s="3180" t="s">
        <v>3084</v>
      </c>
      <c r="L28" s="3180">
        <v>189400</v>
      </c>
      <c r="M28" s="3180">
        <v>19102.37</v>
      </c>
      <c r="N28" s="3180">
        <v>9551.19</v>
      </c>
    </row>
    <row r="29" spans="1:14" hidden="1">
      <c r="A29" s="3180" t="s">
        <v>3085</v>
      </c>
      <c r="B29" s="3180" t="s">
        <v>1946</v>
      </c>
      <c r="C29" s="3180" t="s">
        <v>3014</v>
      </c>
      <c r="D29" s="3180" t="s">
        <v>3015</v>
      </c>
      <c r="E29" s="3180" t="s">
        <v>3029</v>
      </c>
      <c r="F29" s="3180">
        <v>8351</v>
      </c>
      <c r="G29" s="3180">
        <v>42000</v>
      </c>
      <c r="H29" s="3180">
        <v>5.03</v>
      </c>
      <c r="I29" s="3180" t="s">
        <v>3086</v>
      </c>
      <c r="J29" s="3180" t="s">
        <v>3018</v>
      </c>
      <c r="K29" s="3180" t="s">
        <v>3087</v>
      </c>
      <c r="L29" s="3180">
        <v>48000</v>
      </c>
      <c r="M29" s="3180">
        <v>57478.14</v>
      </c>
      <c r="N29" s="3180">
        <v>11428.56</v>
      </c>
    </row>
    <row r="30" spans="1:14" hidden="1">
      <c r="A30" s="3180" t="s">
        <v>3088</v>
      </c>
      <c r="B30" s="3180" t="s">
        <v>1946</v>
      </c>
      <c r="C30" s="3180" t="s">
        <v>3014</v>
      </c>
      <c r="D30" s="3180" t="s">
        <v>3015</v>
      </c>
      <c r="E30" s="3180" t="s">
        <v>3029</v>
      </c>
      <c r="F30" s="3180">
        <v>9644</v>
      </c>
      <c r="G30" s="3180">
        <v>43700</v>
      </c>
      <c r="H30" s="3180">
        <v>4.53</v>
      </c>
      <c r="I30" s="3180" t="s">
        <v>3086</v>
      </c>
      <c r="J30" s="3180" t="s">
        <v>3018</v>
      </c>
      <c r="K30" s="3180" t="s">
        <v>3089</v>
      </c>
      <c r="L30" s="3180">
        <v>49650</v>
      </c>
      <c r="M30" s="3180">
        <v>51482.79</v>
      </c>
      <c r="N30" s="3180">
        <v>11361.55</v>
      </c>
    </row>
    <row r="31" spans="1:14" hidden="1">
      <c r="A31" s="3180" t="s">
        <v>3090</v>
      </c>
      <c r="B31" s="3180" t="s">
        <v>1946</v>
      </c>
      <c r="C31" s="3180" t="s">
        <v>3014</v>
      </c>
      <c r="D31" s="3180" t="s">
        <v>3015</v>
      </c>
      <c r="E31" s="3180" t="s">
        <v>3091</v>
      </c>
      <c r="F31" s="3180">
        <v>39272</v>
      </c>
      <c r="G31" s="3180">
        <v>76464</v>
      </c>
      <c r="H31" s="3180">
        <v>1.95</v>
      </c>
      <c r="I31" s="3180" t="s">
        <v>3092</v>
      </c>
      <c r="J31" s="3180" t="s">
        <v>3018</v>
      </c>
      <c r="K31" s="3180" t="s">
        <v>3093</v>
      </c>
      <c r="L31" s="3180">
        <v>104000</v>
      </c>
      <c r="M31" s="3180">
        <v>26481.97</v>
      </c>
      <c r="N31" s="3180">
        <v>13601.17</v>
      </c>
    </row>
    <row r="32" spans="1:14" hidden="1"/>
  </sheetData>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 sqref="C2"/>
    </sheetView>
  </sheetViews>
  <sheetFormatPr defaultRowHeight="13.5"/>
  <sheetData>
    <row r="1" spans="1:4">
      <c r="A1" t="s">
        <v>2995</v>
      </c>
      <c r="B1" t="s">
        <v>2996</v>
      </c>
      <c r="C1" t="s">
        <v>2997</v>
      </c>
      <c r="D1" t="s">
        <v>2998</v>
      </c>
    </row>
    <row r="2" spans="1:4">
      <c r="A2">
        <v>1</v>
      </c>
      <c r="B2">
        <f>'数据-汇总表'!F20/6</f>
        <v>6643.9483333333337</v>
      </c>
      <c r="C2">
        <v>8</v>
      </c>
      <c r="D2">
        <f>B2*C2</f>
        <v>53151.58666666667</v>
      </c>
    </row>
    <row r="3" spans="1:4">
      <c r="A3">
        <v>2</v>
      </c>
      <c r="B3">
        <f>B2</f>
        <v>6643.9483333333337</v>
      </c>
      <c r="C3">
        <f>C2*0.6</f>
        <v>4.8</v>
      </c>
      <c r="D3">
        <f t="shared" ref="D3:D8" si="0">B3*C3</f>
        <v>31890.952000000001</v>
      </c>
    </row>
    <row r="4" spans="1:4">
      <c r="A4">
        <v>3</v>
      </c>
      <c r="B4">
        <f>B3</f>
        <v>6643.9483333333337</v>
      </c>
      <c r="C4">
        <f>C2*0.5</f>
        <v>4</v>
      </c>
      <c r="D4">
        <f t="shared" si="0"/>
        <v>26575.793333333335</v>
      </c>
    </row>
    <row r="5" spans="1:4">
      <c r="A5">
        <v>4</v>
      </c>
      <c r="B5">
        <f>B4</f>
        <v>6643.9483333333337</v>
      </c>
      <c r="C5">
        <f>C2*0.4</f>
        <v>3.2</v>
      </c>
      <c r="D5">
        <f t="shared" si="0"/>
        <v>21260.634666666669</v>
      </c>
    </row>
    <row r="6" spans="1:4">
      <c r="A6">
        <v>5</v>
      </c>
      <c r="B6">
        <f>B5</f>
        <v>6643.9483333333337</v>
      </c>
      <c r="C6">
        <f>C2*0.4</f>
        <v>3.2</v>
      </c>
      <c r="D6">
        <f t="shared" si="0"/>
        <v>21260.634666666669</v>
      </c>
    </row>
    <row r="7" spans="1:4">
      <c r="A7">
        <v>6</v>
      </c>
      <c r="B7">
        <f>B6</f>
        <v>6643.9483333333337</v>
      </c>
      <c r="C7">
        <f>C2*0.4</f>
        <v>3.2</v>
      </c>
      <c r="D7">
        <f t="shared" si="0"/>
        <v>21260.634666666669</v>
      </c>
    </row>
    <row r="8" spans="1:4">
      <c r="A8">
        <v>-1</v>
      </c>
      <c r="B8">
        <f>'数据-汇总表'!G20</f>
        <v>5601.71</v>
      </c>
      <c r="C8">
        <f>C2*0.6</f>
        <v>4.8</v>
      </c>
      <c r="D8">
        <f t="shared" si="0"/>
        <v>26888.207999999999</v>
      </c>
    </row>
    <row r="9" spans="1:4">
      <c r="A9" t="s">
        <v>2999</v>
      </c>
      <c r="B9">
        <f>SUM(B2:B8)</f>
        <v>45465.4</v>
      </c>
      <c r="D9">
        <f>SUM(D2:D8)</f>
        <v>202288.44400000002</v>
      </c>
    </row>
    <row r="10" spans="1:4">
      <c r="C10">
        <f>D9/B9</f>
        <v>4.4492832791529384</v>
      </c>
    </row>
  </sheetData>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127</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租金核算</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2017-10-24T06:06:13Z</dcterms:modified>
</cp:coreProperties>
</file>